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1095" windowWidth="14355" windowHeight="4995"/>
  </bookViews>
  <sheets>
    <sheet name="Assumptions" sheetId="39" r:id="rId1"/>
    <sheet name="IP points " sheetId="28" r:id="rId2"/>
    <sheet name="input data quantitative an" sheetId="30" r:id="rId3"/>
    <sheet name="input ec analysis" sheetId="6" r:id="rId4"/>
    <sheet name="Input data saved costs" sheetId="38" r:id="rId5"/>
    <sheet name="saved costs B" sheetId="36" r:id="rId6"/>
    <sheet name="saved costs C" sheetId="37" r:id="rId7"/>
    <sheet name="economic cash flow" sheetId="35" r:id="rId8"/>
  </sheets>
  <externalReferences>
    <externalReference r:id="rId9"/>
  </externalReferences>
  <calcPr calcId="125725"/>
</workbook>
</file>

<file path=xl/calcChain.xml><?xml version="1.0" encoding="utf-8"?>
<calcChain xmlns="http://schemas.openxmlformats.org/spreadsheetml/2006/main">
  <c r="G7" i="6"/>
  <c r="E61" i="30" l="1"/>
  <c r="F61"/>
  <c r="G61"/>
  <c r="H61"/>
  <c r="I61"/>
  <c r="J61"/>
  <c r="K61"/>
  <c r="L61" s="1"/>
  <c r="M61" s="1"/>
  <c r="N61" s="1"/>
  <c r="O61" s="1"/>
  <c r="P61" s="1"/>
  <c r="Q61" s="1"/>
  <c r="R61" s="1"/>
  <c r="S61" s="1"/>
  <c r="T61" s="1"/>
  <c r="U61" s="1"/>
  <c r="V61" s="1"/>
  <c r="W61" s="1"/>
  <c r="X61" s="1"/>
  <c r="Y61" s="1"/>
  <c r="Z61" s="1"/>
  <c r="AA61" s="1"/>
  <c r="AB61" s="1"/>
  <c r="D61"/>
  <c r="E60"/>
  <c r="F60"/>
  <c r="G60"/>
  <c r="H60"/>
  <c r="I60"/>
  <c r="J60"/>
  <c r="K60"/>
  <c r="L60" s="1"/>
  <c r="M60" s="1"/>
  <c r="N60" s="1"/>
  <c r="O60" s="1"/>
  <c r="P60" s="1"/>
  <c r="Q60" s="1"/>
  <c r="R60" s="1"/>
  <c r="S60" s="1"/>
  <c r="T60" s="1"/>
  <c r="U60" s="1"/>
  <c r="V60" s="1"/>
  <c r="W60" s="1"/>
  <c r="X60" s="1"/>
  <c r="Y60" s="1"/>
  <c r="Z60" s="1"/>
  <c r="AA60" s="1"/>
  <c r="AB60" s="1"/>
  <c r="D60"/>
  <c r="M43"/>
  <c r="N43" s="1"/>
  <c r="O43" s="1"/>
  <c r="P43" s="1"/>
  <c r="Q43" s="1"/>
  <c r="R43" s="1"/>
  <c r="S43" s="1"/>
  <c r="T43" s="1"/>
  <c r="U43" s="1"/>
  <c r="V43" s="1"/>
  <c r="W43" s="1"/>
  <c r="X43" s="1"/>
  <c r="Y43" s="1"/>
  <c r="Z43" s="1"/>
  <c r="AA43" s="1"/>
  <c r="AB43" s="1"/>
  <c r="L43"/>
  <c r="E43"/>
  <c r="F43"/>
  <c r="G43"/>
  <c r="H43"/>
  <c r="I43"/>
  <c r="J43"/>
  <c r="K43"/>
  <c r="D43"/>
  <c r="E42"/>
  <c r="F42"/>
  <c r="G42"/>
  <c r="H42"/>
  <c r="I42"/>
  <c r="J42"/>
  <c r="K42"/>
  <c r="L42" s="1"/>
  <c r="M42" s="1"/>
  <c r="N42" s="1"/>
  <c r="O42" s="1"/>
  <c r="P42" s="1"/>
  <c r="Q42" s="1"/>
  <c r="R42" s="1"/>
  <c r="S42" s="1"/>
  <c r="T42" s="1"/>
  <c r="U42" s="1"/>
  <c r="V42" s="1"/>
  <c r="W42" s="1"/>
  <c r="X42" s="1"/>
  <c r="Y42" s="1"/>
  <c r="Z42" s="1"/>
  <c r="AA42" s="1"/>
  <c r="AB42" s="1"/>
  <c r="D42"/>
  <c r="I58"/>
  <c r="J58"/>
  <c r="K58"/>
  <c r="L58"/>
  <c r="M58" s="1"/>
  <c r="N58" s="1"/>
  <c r="O58" s="1"/>
  <c r="P58" s="1"/>
  <c r="Q58" s="1"/>
  <c r="R58" s="1"/>
  <c r="S58" s="1"/>
  <c r="T58" s="1"/>
  <c r="U58" s="1"/>
  <c r="V58" s="1"/>
  <c r="W58" s="1"/>
  <c r="X58" s="1"/>
  <c r="Y58" s="1"/>
  <c r="Z58" s="1"/>
  <c r="AA58" s="1"/>
  <c r="AB58" s="1"/>
  <c r="E16"/>
  <c r="F16"/>
  <c r="G16"/>
  <c r="H16"/>
  <c r="I16"/>
  <c r="J16"/>
  <c r="K16"/>
  <c r="L16" s="1"/>
  <c r="M16" s="1"/>
  <c r="N16" s="1"/>
  <c r="O16" s="1"/>
  <c r="P16" s="1"/>
  <c r="Q16" s="1"/>
  <c r="R16" s="1"/>
  <c r="S16" s="1"/>
  <c r="T16" s="1"/>
  <c r="U16" s="1"/>
  <c r="V16" s="1"/>
  <c r="W16" s="1"/>
  <c r="X16" s="1"/>
  <c r="Y16" s="1"/>
  <c r="Z16" s="1"/>
  <c r="AA16" s="1"/>
  <c r="AB16" s="1"/>
  <c r="D16"/>
  <c r="E15"/>
  <c r="F15"/>
  <c r="G15"/>
  <c r="H15"/>
  <c r="I15"/>
  <c r="J15"/>
  <c r="K15"/>
  <c r="L15" s="1"/>
  <c r="M15" s="1"/>
  <c r="N15" s="1"/>
  <c r="O15" s="1"/>
  <c r="P15" s="1"/>
  <c r="Q15" s="1"/>
  <c r="R15" s="1"/>
  <c r="S15" s="1"/>
  <c r="T15" s="1"/>
  <c r="U15" s="1"/>
  <c r="V15" s="1"/>
  <c r="W15" s="1"/>
  <c r="X15" s="1"/>
  <c r="Y15" s="1"/>
  <c r="Z15" s="1"/>
  <c r="AA15" s="1"/>
  <c r="D15"/>
  <c r="F17" i="28"/>
  <c r="G17"/>
  <c r="H17"/>
  <c r="I17"/>
  <c r="J17"/>
  <c r="K17"/>
  <c r="L17"/>
  <c r="E17"/>
  <c r="C8" i="35" l="1"/>
  <c r="D6" i="6"/>
  <c r="D8" i="35" s="1"/>
  <c r="E6" i="6" l="1"/>
  <c r="F6" s="1"/>
  <c r="F8" i="35" s="1"/>
  <c r="E8" l="1"/>
  <c r="B28" s="1"/>
  <c r="F12"/>
  <c r="F16" s="1"/>
  <c r="D12"/>
  <c r="D16" s="1"/>
  <c r="M9" l="1"/>
  <c r="M12" s="1"/>
  <c r="E12"/>
  <c r="E16" s="1"/>
  <c r="U9"/>
  <c r="U12" s="1"/>
  <c r="G9"/>
  <c r="G12" s="1"/>
  <c r="S9"/>
  <c r="S12" s="1"/>
  <c r="K9"/>
  <c r="K12" s="1"/>
  <c r="Q9"/>
  <c r="I9"/>
  <c r="I12" s="1"/>
  <c r="Y9"/>
  <c r="Y12" s="1"/>
  <c r="W9"/>
  <c r="W12" s="1"/>
  <c r="O9"/>
  <c r="O12" s="1"/>
  <c r="Z11"/>
  <c r="B30"/>
  <c r="B31" s="1"/>
  <c r="B32" s="1"/>
  <c r="B33" s="1"/>
  <c r="Z9"/>
  <c r="X9"/>
  <c r="X12" s="1"/>
  <c r="V9"/>
  <c r="V12" s="1"/>
  <c r="T9"/>
  <c r="T12" s="1"/>
  <c r="R9"/>
  <c r="R12" s="1"/>
  <c r="P9"/>
  <c r="P12" s="1"/>
  <c r="N9"/>
  <c r="N12" s="1"/>
  <c r="L9"/>
  <c r="L12" s="1"/>
  <c r="J9"/>
  <c r="J12" s="1"/>
  <c r="H9"/>
  <c r="H12" s="1"/>
  <c r="C12"/>
  <c r="C16" s="1"/>
  <c r="D10" i="38"/>
  <c r="E10" s="1"/>
  <c r="C10"/>
  <c r="G7" i="37"/>
  <c r="J7" s="1"/>
  <c r="M7" s="1"/>
  <c r="P7" s="1"/>
  <c r="S7" s="1"/>
  <c r="V7" s="1"/>
  <c r="G6"/>
  <c r="J6" s="1"/>
  <c r="M6" s="1"/>
  <c r="P6" s="1"/>
  <c r="S6" s="1"/>
  <c r="V6" s="1"/>
  <c r="G5"/>
  <c r="J5" s="1"/>
  <c r="M5" s="1"/>
  <c r="P5" s="1"/>
  <c r="S5" s="1"/>
  <c r="V5" s="1"/>
  <c r="F7" i="36"/>
  <c r="I7" s="1"/>
  <c r="L7" s="1"/>
  <c r="O7" s="1"/>
  <c r="R7" s="1"/>
  <c r="U7" s="1"/>
  <c r="F6"/>
  <c r="I6" s="1"/>
  <c r="L6" s="1"/>
  <c r="O6" s="1"/>
  <c r="R6" s="1"/>
  <c r="U6" s="1"/>
  <c r="F5"/>
  <c r="I5" s="1"/>
  <c r="L5" s="1"/>
  <c r="O5" s="1"/>
  <c r="R5" s="1"/>
  <c r="U5" s="1"/>
  <c r="Z12" i="35" l="1"/>
  <c r="F10" i="38"/>
  <c r="G10"/>
  <c r="H10" l="1"/>
  <c r="I10" l="1"/>
  <c r="J10" l="1"/>
  <c r="K10" l="1"/>
  <c r="L10" l="1"/>
  <c r="M10" l="1"/>
  <c r="N10" l="1"/>
  <c r="O10" l="1"/>
  <c r="P10" l="1"/>
  <c r="Q10" l="1"/>
  <c r="R10" l="1"/>
  <c r="S10" l="1"/>
  <c r="T10" l="1"/>
  <c r="U10" l="1"/>
  <c r="W7" i="37" l="1"/>
  <c r="V30" s="1"/>
  <c r="T7"/>
  <c r="S30" s="1"/>
  <c r="Q7"/>
  <c r="P16" s="1"/>
  <c r="P25" s="1"/>
  <c r="N7"/>
  <c r="M30" s="1"/>
  <c r="K7"/>
  <c r="J30" s="1"/>
  <c r="H7"/>
  <c r="G30" s="1"/>
  <c r="E7"/>
  <c r="D16" s="1"/>
  <c r="D25" s="1"/>
  <c r="W6"/>
  <c r="V29" s="1"/>
  <c r="T6"/>
  <c r="S29" s="1"/>
  <c r="Q6"/>
  <c r="P29" s="1"/>
  <c r="N6"/>
  <c r="M15" s="1"/>
  <c r="K6"/>
  <c r="J29" s="1"/>
  <c r="H6"/>
  <c r="G29" s="1"/>
  <c r="G34" s="1"/>
  <c r="E6"/>
  <c r="D29" s="1"/>
  <c r="D34" s="1"/>
  <c r="W5"/>
  <c r="V14" s="1"/>
  <c r="T5"/>
  <c r="S28" s="1"/>
  <c r="Q5"/>
  <c r="P28" s="1"/>
  <c r="N5"/>
  <c r="M28" s="1"/>
  <c r="K5"/>
  <c r="J14" s="1"/>
  <c r="H5"/>
  <c r="G28" s="1"/>
  <c r="E5"/>
  <c r="D28" s="1"/>
  <c r="V7" i="36"/>
  <c r="U16" s="1"/>
  <c r="V6"/>
  <c r="U29" s="1"/>
  <c r="V5"/>
  <c r="U14" s="1"/>
  <c r="S7"/>
  <c r="R30" s="1"/>
  <c r="S6"/>
  <c r="R29" s="1"/>
  <c r="S5"/>
  <c r="R14" s="1"/>
  <c r="P7"/>
  <c r="O30" s="1"/>
  <c r="P6"/>
  <c r="O29" s="1"/>
  <c r="P5"/>
  <c r="O14" s="1"/>
  <c r="M7"/>
  <c r="L16" s="1"/>
  <c r="L25" s="1"/>
  <c r="M6"/>
  <c r="L29" s="1"/>
  <c r="M5"/>
  <c r="L14" s="1"/>
  <c r="G5"/>
  <c r="F14" s="1"/>
  <c r="J5"/>
  <c r="I14" s="1"/>
  <c r="G6"/>
  <c r="F29" s="1"/>
  <c r="J6"/>
  <c r="I29" s="1"/>
  <c r="G7"/>
  <c r="F16" s="1"/>
  <c r="F25" s="1"/>
  <c r="J7"/>
  <c r="I30" s="1"/>
  <c r="D7"/>
  <c r="C16" s="1"/>
  <c r="C25" s="1"/>
  <c r="D6"/>
  <c r="C29" s="1"/>
  <c r="D5"/>
  <c r="C14" s="1"/>
  <c r="X14" l="1"/>
  <c r="S34" i="37"/>
  <c r="J34"/>
  <c r="P34"/>
  <c r="V34"/>
  <c r="V23"/>
  <c r="Y14"/>
  <c r="J23"/>
  <c r="U25" i="36"/>
  <c r="X16"/>
  <c r="Y16" s="1"/>
  <c r="Z16" s="1"/>
  <c r="AA16" s="1"/>
  <c r="AB16" s="1"/>
  <c r="AC16" s="1"/>
  <c r="AD16" s="1"/>
  <c r="AE16" s="1"/>
  <c r="AF16" s="1"/>
  <c r="AG16" s="1"/>
  <c r="AH16" s="1"/>
  <c r="AI16" s="1"/>
  <c r="AJ16" s="1"/>
  <c r="C34"/>
  <c r="I34"/>
  <c r="O34"/>
  <c r="F34"/>
  <c r="L34"/>
  <c r="U34"/>
  <c r="R34"/>
  <c r="L23"/>
  <c r="U23"/>
  <c r="I23"/>
  <c r="R23"/>
  <c r="F23"/>
  <c r="O23"/>
  <c r="O16"/>
  <c r="O25" s="1"/>
  <c r="U30"/>
  <c r="R15"/>
  <c r="R16"/>
  <c r="R25" s="1"/>
  <c r="I15"/>
  <c r="I24" s="1"/>
  <c r="O15"/>
  <c r="O53" s="1"/>
  <c r="U15"/>
  <c r="X15" s="1"/>
  <c r="Y15" s="1"/>
  <c r="Z15" s="1"/>
  <c r="AA15" s="1"/>
  <c r="AB15" s="1"/>
  <c r="AC15" s="1"/>
  <c r="AD15" s="1"/>
  <c r="AE15" s="1"/>
  <c r="AF15" s="1"/>
  <c r="AG15" s="1"/>
  <c r="AH15" s="1"/>
  <c r="AI15" s="1"/>
  <c r="AJ15" s="1"/>
  <c r="G35" i="37"/>
  <c r="D15"/>
  <c r="G16"/>
  <c r="G25" s="1"/>
  <c r="D14"/>
  <c r="P15"/>
  <c r="P24" s="1"/>
  <c r="S16"/>
  <c r="S25" s="1"/>
  <c r="M14"/>
  <c r="S15"/>
  <c r="S24" s="1"/>
  <c r="G15"/>
  <c r="G24" s="1"/>
  <c r="J16"/>
  <c r="J25" s="1"/>
  <c r="G33"/>
  <c r="G37" s="1"/>
  <c r="S33"/>
  <c r="S37" s="1"/>
  <c r="M35"/>
  <c r="S14"/>
  <c r="G14"/>
  <c r="M16"/>
  <c r="M25" s="1"/>
  <c r="M24"/>
  <c r="V28"/>
  <c r="D30"/>
  <c r="D43" s="1"/>
  <c r="M33"/>
  <c r="M37" s="1"/>
  <c r="S35"/>
  <c r="V15"/>
  <c r="Y15" s="1"/>
  <c r="Z15" s="1"/>
  <c r="AA15" s="1"/>
  <c r="AB15" s="1"/>
  <c r="AC15" s="1"/>
  <c r="AD15" s="1"/>
  <c r="AE15" s="1"/>
  <c r="AF15" s="1"/>
  <c r="AG15" s="1"/>
  <c r="AH15" s="1"/>
  <c r="AI15" s="1"/>
  <c r="AJ15" s="1"/>
  <c r="AK15" s="1"/>
  <c r="D33"/>
  <c r="D37" s="1"/>
  <c r="P33"/>
  <c r="P37" s="1"/>
  <c r="J35"/>
  <c r="V35"/>
  <c r="P14"/>
  <c r="J15"/>
  <c r="V16"/>
  <c r="J28"/>
  <c r="M29"/>
  <c r="P30"/>
  <c r="L15" i="36"/>
  <c r="L53" s="1"/>
  <c r="I28"/>
  <c r="L30"/>
  <c r="U28"/>
  <c r="U24"/>
  <c r="R35"/>
  <c r="R28"/>
  <c r="O35"/>
  <c r="O28"/>
  <c r="L28"/>
  <c r="I35"/>
  <c r="I16"/>
  <c r="I25" s="1"/>
  <c r="F15"/>
  <c r="F53" s="1"/>
  <c r="F30"/>
  <c r="F43" s="1"/>
  <c r="F48" s="1"/>
  <c r="F28"/>
  <c r="C23"/>
  <c r="C15"/>
  <c r="C53" s="1"/>
  <c r="C28"/>
  <c r="C30"/>
  <c r="C43" s="1"/>
  <c r="R53" l="1"/>
  <c r="X53"/>
  <c r="J53" i="37"/>
  <c r="D53"/>
  <c r="G53"/>
  <c r="M53"/>
  <c r="I53" i="36"/>
  <c r="P53" i="37"/>
  <c r="S53"/>
  <c r="Y14" i="36"/>
  <c r="Y53" s="1"/>
  <c r="V53" i="37"/>
  <c r="U53" i="36"/>
  <c r="M34" i="37"/>
  <c r="D23"/>
  <c r="Z14"/>
  <c r="V25"/>
  <c r="Y16"/>
  <c r="Z16" s="1"/>
  <c r="AA16" s="1"/>
  <c r="AB16" s="1"/>
  <c r="AC16" s="1"/>
  <c r="AD16" s="1"/>
  <c r="AE16" s="1"/>
  <c r="AF16" s="1"/>
  <c r="AG16" s="1"/>
  <c r="AH16" s="1"/>
  <c r="AI16" s="1"/>
  <c r="AJ16" s="1"/>
  <c r="AK16" s="1"/>
  <c r="S23"/>
  <c r="P23"/>
  <c r="P26" s="1"/>
  <c r="M23"/>
  <c r="M26" s="1"/>
  <c r="G23"/>
  <c r="G26" s="1"/>
  <c r="Z14" i="36"/>
  <c r="Z53" s="1"/>
  <c r="U35"/>
  <c r="U43"/>
  <c r="X43" s="1"/>
  <c r="I43"/>
  <c r="I48" s="1"/>
  <c r="L43"/>
  <c r="L48" s="1"/>
  <c r="O43"/>
  <c r="O48" s="1"/>
  <c r="I33"/>
  <c r="I37" s="1"/>
  <c r="R43"/>
  <c r="R48" s="1"/>
  <c r="U26"/>
  <c r="I26"/>
  <c r="L35"/>
  <c r="L24"/>
  <c r="L26" s="1"/>
  <c r="R24"/>
  <c r="R26" s="1"/>
  <c r="O24"/>
  <c r="O26" s="1"/>
  <c r="D24" i="37"/>
  <c r="M41"/>
  <c r="J33"/>
  <c r="J37" s="1"/>
  <c r="J41" s="1"/>
  <c r="D35"/>
  <c r="D48"/>
  <c r="S26"/>
  <c r="S41"/>
  <c r="V24"/>
  <c r="V33"/>
  <c r="V37" s="1"/>
  <c r="P35"/>
  <c r="J24"/>
  <c r="J26" s="1"/>
  <c r="G41"/>
  <c r="U33" i="36"/>
  <c r="U37" s="1"/>
  <c r="R33"/>
  <c r="R37" s="1"/>
  <c r="R41" s="1"/>
  <c r="O33"/>
  <c r="O37" s="1"/>
  <c r="L33"/>
  <c r="L37" s="1"/>
  <c r="L41" s="1"/>
  <c r="F24"/>
  <c r="F26" s="1"/>
  <c r="F35"/>
  <c r="F33"/>
  <c r="F37" s="1"/>
  <c r="C33"/>
  <c r="C37" s="1"/>
  <c r="C24"/>
  <c r="C26" s="1"/>
  <c r="C48"/>
  <c r="C35"/>
  <c r="Z53" i="37" l="1"/>
  <c r="Y53"/>
  <c r="V26"/>
  <c r="D26"/>
  <c r="V41"/>
  <c r="Y41" s="1"/>
  <c r="Z41" s="1"/>
  <c r="AA41" s="1"/>
  <c r="AB41" s="1"/>
  <c r="AC41" s="1"/>
  <c r="AD41" s="1"/>
  <c r="AE41" s="1"/>
  <c r="AF41" s="1"/>
  <c r="AG41" s="1"/>
  <c r="AH41" s="1"/>
  <c r="AI41" s="1"/>
  <c r="AJ41" s="1"/>
  <c r="AK41" s="1"/>
  <c r="AA14"/>
  <c r="AA53" s="1"/>
  <c r="AA14" i="36"/>
  <c r="AA53" s="1"/>
  <c r="I41"/>
  <c r="I46" s="1"/>
  <c r="U41"/>
  <c r="X41" s="1"/>
  <c r="O41"/>
  <c r="O46" s="1"/>
  <c r="U48"/>
  <c r="Y43"/>
  <c r="Z43" s="1"/>
  <c r="AA43" s="1"/>
  <c r="AB43" s="1"/>
  <c r="AC43" s="1"/>
  <c r="AD43" s="1"/>
  <c r="AE43" s="1"/>
  <c r="AF43" s="1"/>
  <c r="AG43" s="1"/>
  <c r="AH43" s="1"/>
  <c r="AI43" s="1"/>
  <c r="AJ43" s="1"/>
  <c r="G46" i="37"/>
  <c r="P41"/>
  <c r="S46"/>
  <c r="J46"/>
  <c r="V46"/>
  <c r="M46"/>
  <c r="D41"/>
  <c r="R46" i="36"/>
  <c r="F41"/>
  <c r="C41"/>
  <c r="AB14" i="37" l="1"/>
  <c r="AB53" s="1"/>
  <c r="AB14" i="36"/>
  <c r="AB53" s="1"/>
  <c r="U46"/>
  <c r="Y41"/>
  <c r="C46"/>
  <c r="L46"/>
  <c r="D46" i="37"/>
  <c r="P46"/>
  <c r="F46" i="36"/>
  <c r="AC14" i="37" l="1"/>
  <c r="AC53" s="1"/>
  <c r="AC14" i="36"/>
  <c r="AC53" s="1"/>
  <c r="Z41"/>
  <c r="AD14" i="37" l="1"/>
  <c r="AD53" s="1"/>
  <c r="AD14" i="36"/>
  <c r="AD53" s="1"/>
  <c r="AA41"/>
  <c r="AE14" i="37" l="1"/>
  <c r="AE53" s="1"/>
  <c r="AE14" i="36"/>
  <c r="AE53" s="1"/>
  <c r="AB41"/>
  <c r="AF14" i="37" l="1"/>
  <c r="AF53" s="1"/>
  <c r="AF14" i="36"/>
  <c r="AF53" s="1"/>
  <c r="AC41"/>
  <c r="AG14" i="37" l="1"/>
  <c r="AG53" s="1"/>
  <c r="AG14" i="36"/>
  <c r="AG53" s="1"/>
  <c r="AD41"/>
  <c r="AH14" i="37" l="1"/>
  <c r="AH53" s="1"/>
  <c r="AH14" i="36"/>
  <c r="AH53" s="1"/>
  <c r="AE41"/>
  <c r="AI14" i="37" l="1"/>
  <c r="AI53" s="1"/>
  <c r="AI14" i="36"/>
  <c r="AI53" s="1"/>
  <c r="AF41"/>
  <c r="AJ14" i="37" l="1"/>
  <c r="AJ53" s="1"/>
  <c r="AJ14" i="36"/>
  <c r="AJ53" s="1"/>
  <c r="AG41"/>
  <c r="AK14" i="37" l="1"/>
  <c r="AK53" s="1"/>
  <c r="AH41" i="36"/>
  <c r="AI41" l="1"/>
  <c r="AJ41" l="1"/>
  <c r="Q10" i="35" l="1"/>
  <c r="Q12" s="1"/>
  <c r="B23" l="1"/>
  <c r="AA7" i="6" l="1"/>
  <c r="G17" l="1"/>
  <c r="Z14"/>
  <c r="Z7"/>
  <c r="Y7"/>
  <c r="X7"/>
  <c r="W7"/>
  <c r="V7"/>
  <c r="U7"/>
  <c r="T7"/>
  <c r="S7"/>
  <c r="R7"/>
  <c r="Q7"/>
  <c r="P7"/>
  <c r="O7"/>
  <c r="N7"/>
  <c r="M7"/>
  <c r="L7"/>
  <c r="K7"/>
  <c r="J7"/>
  <c r="I7"/>
  <c r="H7"/>
  <c r="I32" i="30" l="1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H32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H29"/>
  <c r="I57" l="1"/>
  <c r="D55"/>
  <c r="D56" s="1"/>
  <c r="E54"/>
  <c r="E55" s="1"/>
  <c r="E56" s="1"/>
  <c r="E53"/>
  <c r="F53" s="1"/>
  <c r="G53" s="1"/>
  <c r="H53" s="1"/>
  <c r="I53" s="1"/>
  <c r="J53" s="1"/>
  <c r="K53" s="1"/>
  <c r="L53" s="1"/>
  <c r="M53" s="1"/>
  <c r="N53" s="1"/>
  <c r="O53" s="1"/>
  <c r="P53" s="1"/>
  <c r="Q53" s="1"/>
  <c r="R53" s="1"/>
  <c r="S53" s="1"/>
  <c r="T53" s="1"/>
  <c r="U53" s="1"/>
  <c r="V53" s="1"/>
  <c r="W53" s="1"/>
  <c r="X53" s="1"/>
  <c r="Y53" s="1"/>
  <c r="Z53" s="1"/>
  <c r="AA53" s="1"/>
  <c r="AB53" s="1"/>
  <c r="E52"/>
  <c r="F52" s="1"/>
  <c r="G52" s="1"/>
  <c r="H52" s="1"/>
  <c r="I39"/>
  <c r="J39" s="1"/>
  <c r="K39" s="1"/>
  <c r="L39" s="1"/>
  <c r="M39" s="1"/>
  <c r="N39" s="1"/>
  <c r="O39" s="1"/>
  <c r="P39" s="1"/>
  <c r="Q39" s="1"/>
  <c r="R39" s="1"/>
  <c r="S39" s="1"/>
  <c r="T39" s="1"/>
  <c r="U39" s="1"/>
  <c r="V39" s="1"/>
  <c r="W39" s="1"/>
  <c r="X39" s="1"/>
  <c r="Y39" s="1"/>
  <c r="Z39" s="1"/>
  <c r="AA39" s="1"/>
  <c r="AB39" s="1"/>
  <c r="E36"/>
  <c r="F36" s="1"/>
  <c r="G36" s="1"/>
  <c r="H36" s="1"/>
  <c r="I36" s="1"/>
  <c r="J36" s="1"/>
  <c r="K36" s="1"/>
  <c r="L36" s="1"/>
  <c r="M36" s="1"/>
  <c r="N36" s="1"/>
  <c r="O36" s="1"/>
  <c r="P36" s="1"/>
  <c r="Q36" s="1"/>
  <c r="R36" s="1"/>
  <c r="S36" s="1"/>
  <c r="T36" s="1"/>
  <c r="U36" s="1"/>
  <c r="V36" s="1"/>
  <c r="W36" s="1"/>
  <c r="X36" s="1"/>
  <c r="Y36" s="1"/>
  <c r="Z36" s="1"/>
  <c r="AA36" s="1"/>
  <c r="AB36" s="1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D35"/>
  <c r="D34"/>
  <c r="E34" s="1"/>
  <c r="F34" s="1"/>
  <c r="G34" s="1"/>
  <c r="H34" s="1"/>
  <c r="I52" l="1"/>
  <c r="H49"/>
  <c r="I34"/>
  <c r="H45"/>
  <c r="AB15"/>
  <c r="F54"/>
  <c r="D7"/>
  <c r="D8" s="1"/>
  <c r="D9" s="1"/>
  <c r="E9" s="1"/>
  <c r="H10"/>
  <c r="I10" s="1"/>
  <c r="H11"/>
  <c r="I4"/>
  <c r="I9"/>
  <c r="I11" s="1"/>
  <c r="E6"/>
  <c r="F6" s="1"/>
  <c r="G6" s="1"/>
  <c r="H6" s="1"/>
  <c r="I6" s="1"/>
  <c r="J6" s="1"/>
  <c r="K6" s="1"/>
  <c r="L6" s="1"/>
  <c r="M6" s="1"/>
  <c r="N6" s="1"/>
  <c r="O6" s="1"/>
  <c r="P6" s="1"/>
  <c r="Q6" s="1"/>
  <c r="R6" s="1"/>
  <c r="S6" s="1"/>
  <c r="T6" s="1"/>
  <c r="U6" s="1"/>
  <c r="V6" s="1"/>
  <c r="W6" s="1"/>
  <c r="X6" s="1"/>
  <c r="Y6" s="1"/>
  <c r="Z6" s="1"/>
  <c r="AA6" s="1"/>
  <c r="AB6" s="1"/>
  <c r="AB7" s="1"/>
  <c r="AB8" s="1"/>
  <c r="O67"/>
  <c r="P67" s="1"/>
  <c r="Q67" s="1"/>
  <c r="R67" s="1"/>
  <c r="O66"/>
  <c r="O57"/>
  <c r="P57" s="1"/>
  <c r="Q57" s="1"/>
  <c r="R57" s="1"/>
  <c r="S57" s="1"/>
  <c r="T57" s="1"/>
  <c r="U57" s="1"/>
  <c r="V57" s="1"/>
  <c r="W57" s="1"/>
  <c r="X57" s="1"/>
  <c r="Y57" s="1"/>
  <c r="Z57" s="1"/>
  <c r="AA57" s="1"/>
  <c r="AB57" s="1"/>
  <c r="N37"/>
  <c r="M37"/>
  <c r="L37"/>
  <c r="I37"/>
  <c r="H37"/>
  <c r="H46" s="1"/>
  <c r="D37"/>
  <c r="K37"/>
  <c r="J37"/>
  <c r="G37"/>
  <c r="G38" s="1"/>
  <c r="F37"/>
  <c r="F38" s="1"/>
  <c r="O14"/>
  <c r="P14" s="1"/>
  <c r="Q14" s="1"/>
  <c r="R14" s="1"/>
  <c r="S14" s="1"/>
  <c r="T14" s="1"/>
  <c r="U14" s="1"/>
  <c r="V14" s="1"/>
  <c r="W14" s="1"/>
  <c r="X14" s="1"/>
  <c r="Y14" s="1"/>
  <c r="Z14" s="1"/>
  <c r="AA14" s="1"/>
  <c r="AB14" s="1"/>
  <c r="N5"/>
  <c r="O5" s="1"/>
  <c r="P5" s="1"/>
  <c r="Q5" s="1"/>
  <c r="R5" s="1"/>
  <c r="S5" s="1"/>
  <c r="T5" s="1"/>
  <c r="U5" s="1"/>
  <c r="V5" s="1"/>
  <c r="W5" s="1"/>
  <c r="X5" s="1"/>
  <c r="Y5" s="1"/>
  <c r="Z5" s="1"/>
  <c r="AA5" s="1"/>
  <c r="AB5" s="1"/>
  <c r="M5"/>
  <c r="L5"/>
  <c r="K5"/>
  <c r="J5"/>
  <c r="I5"/>
  <c r="H5"/>
  <c r="G5"/>
  <c r="F5"/>
  <c r="E5"/>
  <c r="D5"/>
  <c r="J52" l="1"/>
  <c r="I49"/>
  <c r="H24"/>
  <c r="H18"/>
  <c r="K7"/>
  <c r="K8" s="1"/>
  <c r="H22"/>
  <c r="F55"/>
  <c r="F56" s="1"/>
  <c r="G54"/>
  <c r="F7"/>
  <c r="F8" s="1"/>
  <c r="J4"/>
  <c r="I24"/>
  <c r="I22"/>
  <c r="I23"/>
  <c r="I18"/>
  <c r="N7"/>
  <c r="N8" s="1"/>
  <c r="J7"/>
  <c r="J8" s="1"/>
  <c r="H23"/>
  <c r="J34"/>
  <c r="I45"/>
  <c r="S7"/>
  <c r="S8" s="1"/>
  <c r="H38"/>
  <c r="V7"/>
  <c r="V8" s="1"/>
  <c r="J38"/>
  <c r="I38"/>
  <c r="I47" s="1"/>
  <c r="I46"/>
  <c r="K38"/>
  <c r="L38"/>
  <c r="AA7"/>
  <c r="AA8" s="1"/>
  <c r="R7"/>
  <c r="R8" s="1"/>
  <c r="M38"/>
  <c r="Z7"/>
  <c r="Z8" s="1"/>
  <c r="W7"/>
  <c r="W8" s="1"/>
  <c r="O7"/>
  <c r="O8" s="1"/>
  <c r="G7"/>
  <c r="G8" s="1"/>
  <c r="F9"/>
  <c r="E10"/>
  <c r="E11" s="1"/>
  <c r="I30"/>
  <c r="Y7"/>
  <c r="Y8" s="1"/>
  <c r="U7"/>
  <c r="U8" s="1"/>
  <c r="Q7"/>
  <c r="Q8" s="1"/>
  <c r="M7"/>
  <c r="I7"/>
  <c r="E7"/>
  <c r="E8" s="1"/>
  <c r="D10"/>
  <c r="D11" s="1"/>
  <c r="X7"/>
  <c r="X8" s="1"/>
  <c r="T7"/>
  <c r="T8" s="1"/>
  <c r="P7"/>
  <c r="P8" s="1"/>
  <c r="L7"/>
  <c r="H7"/>
  <c r="D38"/>
  <c r="E37"/>
  <c r="E38" s="1"/>
  <c r="J9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A11" s="1"/>
  <c r="J10"/>
  <c r="N38"/>
  <c r="I33"/>
  <c r="H33"/>
  <c r="H94" s="1"/>
  <c r="H30"/>
  <c r="O37"/>
  <c r="H47" l="1"/>
  <c r="K52"/>
  <c r="J46"/>
  <c r="J49"/>
  <c r="I94"/>
  <c r="O11"/>
  <c r="M11"/>
  <c r="J11"/>
  <c r="J19"/>
  <c r="K4"/>
  <c r="K20" s="1"/>
  <c r="J23"/>
  <c r="J24"/>
  <c r="J18"/>
  <c r="J22"/>
  <c r="H54"/>
  <c r="G55"/>
  <c r="G56" s="1"/>
  <c r="J20"/>
  <c r="J33"/>
  <c r="J94" s="1"/>
  <c r="J47"/>
  <c r="K34"/>
  <c r="J45"/>
  <c r="X11"/>
  <c r="U11"/>
  <c r="S11"/>
  <c r="Y11"/>
  <c r="R11"/>
  <c r="Z11"/>
  <c r="I8"/>
  <c r="I20" s="1"/>
  <c r="I19"/>
  <c r="I26" s="1"/>
  <c r="H8"/>
  <c r="H20" s="1"/>
  <c r="H19"/>
  <c r="H26" s="1"/>
  <c r="M8"/>
  <c r="O38"/>
  <c r="L8"/>
  <c r="W11"/>
  <c r="G9"/>
  <c r="G10" s="1"/>
  <c r="G11" s="1"/>
  <c r="F10"/>
  <c r="F11" s="1"/>
  <c r="T11"/>
  <c r="V11"/>
  <c r="AB9"/>
  <c r="AB11" s="1"/>
  <c r="H25"/>
  <c r="Q11"/>
  <c r="L11"/>
  <c r="N11"/>
  <c r="K11"/>
  <c r="P11"/>
  <c r="K10"/>
  <c r="I25"/>
  <c r="P37"/>
  <c r="L52" l="1"/>
  <c r="K49"/>
  <c r="K33"/>
  <c r="J25"/>
  <c r="I27"/>
  <c r="I86"/>
  <c r="H86"/>
  <c r="J86"/>
  <c r="H27"/>
  <c r="L34"/>
  <c r="K45"/>
  <c r="K46"/>
  <c r="K47"/>
  <c r="K86" s="1"/>
  <c r="I54"/>
  <c r="H55"/>
  <c r="L4"/>
  <c r="L20" s="1"/>
  <c r="K22"/>
  <c r="K23"/>
  <c r="K24"/>
  <c r="K18"/>
  <c r="K19"/>
  <c r="P38"/>
  <c r="J26"/>
  <c r="L10"/>
  <c r="J30"/>
  <c r="J27"/>
  <c r="Q37"/>
  <c r="M52" l="1"/>
  <c r="L49"/>
  <c r="K94"/>
  <c r="K25"/>
  <c r="K26"/>
  <c r="J54"/>
  <c r="I55"/>
  <c r="M4"/>
  <c r="L18"/>
  <c r="L24"/>
  <c r="L22"/>
  <c r="L23"/>
  <c r="L19"/>
  <c r="M34"/>
  <c r="L45"/>
  <c r="L46"/>
  <c r="L47"/>
  <c r="L86" s="1"/>
  <c r="H56"/>
  <c r="Q38"/>
  <c r="L33"/>
  <c r="K30"/>
  <c r="K27"/>
  <c r="M10"/>
  <c r="R37"/>
  <c r="N52" l="1"/>
  <c r="M49"/>
  <c r="M33"/>
  <c r="L94"/>
  <c r="L26"/>
  <c r="L25"/>
  <c r="I56"/>
  <c r="N4"/>
  <c r="M18"/>
  <c r="M22"/>
  <c r="M24"/>
  <c r="M23"/>
  <c r="M19"/>
  <c r="M20"/>
  <c r="N34"/>
  <c r="M45"/>
  <c r="M46"/>
  <c r="M47"/>
  <c r="K54"/>
  <c r="J55"/>
  <c r="R38"/>
  <c r="T12"/>
  <c r="L27"/>
  <c r="L30"/>
  <c r="N10"/>
  <c r="S37"/>
  <c r="N49" l="1"/>
  <c r="O52"/>
  <c r="M94"/>
  <c r="M86"/>
  <c r="M26"/>
  <c r="M25"/>
  <c r="J56"/>
  <c r="O4"/>
  <c r="N23"/>
  <c r="N18"/>
  <c r="N24"/>
  <c r="N22"/>
  <c r="N19"/>
  <c r="N20"/>
  <c r="L54"/>
  <c r="K55"/>
  <c r="O34"/>
  <c r="N45"/>
  <c r="N46"/>
  <c r="N47"/>
  <c r="N33"/>
  <c r="S38"/>
  <c r="U12"/>
  <c r="M27"/>
  <c r="M30"/>
  <c r="O10"/>
  <c r="T37"/>
  <c r="P52" l="1"/>
  <c r="O49"/>
  <c r="N25"/>
  <c r="N94"/>
  <c r="N86"/>
  <c r="N26"/>
  <c r="K56"/>
  <c r="P4"/>
  <c r="O22"/>
  <c r="O33"/>
  <c r="O23"/>
  <c r="O24"/>
  <c r="O18"/>
  <c r="O20"/>
  <c r="O19"/>
  <c r="M54"/>
  <c r="L55"/>
  <c r="P34"/>
  <c r="O45"/>
  <c r="O46"/>
  <c r="O47"/>
  <c r="T38"/>
  <c r="V12"/>
  <c r="N30"/>
  <c r="N27"/>
  <c r="P10"/>
  <c r="U37"/>
  <c r="O26" l="1"/>
  <c r="P49"/>
  <c r="Q52"/>
  <c r="P23"/>
  <c r="O94"/>
  <c r="O86"/>
  <c r="O25"/>
  <c r="L56"/>
  <c r="N54"/>
  <c r="M55"/>
  <c r="Q4"/>
  <c r="P20"/>
  <c r="P22"/>
  <c r="P18"/>
  <c r="P19"/>
  <c r="P24"/>
  <c r="Q34"/>
  <c r="P45"/>
  <c r="P46"/>
  <c r="P47"/>
  <c r="U38"/>
  <c r="W12"/>
  <c r="O27"/>
  <c r="O30"/>
  <c r="Q10"/>
  <c r="P33"/>
  <c r="V37"/>
  <c r="Q49" l="1"/>
  <c r="R52"/>
  <c r="P26"/>
  <c r="P25"/>
  <c r="P94"/>
  <c r="P86"/>
  <c r="R4"/>
  <c r="Q18"/>
  <c r="Q24"/>
  <c r="Q22"/>
  <c r="Q20"/>
  <c r="Q19"/>
  <c r="R34"/>
  <c r="Q45"/>
  <c r="Q46"/>
  <c r="Q47"/>
  <c r="M56"/>
  <c r="O54"/>
  <c r="N55"/>
  <c r="V38"/>
  <c r="Q33"/>
  <c r="Q23"/>
  <c r="X12"/>
  <c r="P27"/>
  <c r="P30"/>
  <c r="R10"/>
  <c r="W37"/>
  <c r="R49" l="1"/>
  <c r="Q26"/>
  <c r="S52"/>
  <c r="Q94"/>
  <c r="Q86"/>
  <c r="Q25"/>
  <c r="N56"/>
  <c r="S34"/>
  <c r="R45"/>
  <c r="R46"/>
  <c r="R47"/>
  <c r="P54"/>
  <c r="O55"/>
  <c r="S4"/>
  <c r="R22"/>
  <c r="R20"/>
  <c r="R18"/>
  <c r="R24"/>
  <c r="R19"/>
  <c r="R33"/>
  <c r="R23"/>
  <c r="W38"/>
  <c r="Y12"/>
  <c r="Q27"/>
  <c r="Q30"/>
  <c r="S10"/>
  <c r="S23" s="1"/>
  <c r="X37"/>
  <c r="T52" l="1"/>
  <c r="S49"/>
  <c r="O56"/>
  <c r="R94"/>
  <c r="R86"/>
  <c r="R25"/>
  <c r="T4"/>
  <c r="S20"/>
  <c r="S22"/>
  <c r="S24"/>
  <c r="S18"/>
  <c r="S19"/>
  <c r="S26" s="1"/>
  <c r="R26"/>
  <c r="Q54"/>
  <c r="P55"/>
  <c r="T34"/>
  <c r="S45"/>
  <c r="S46"/>
  <c r="S47"/>
  <c r="S33"/>
  <c r="X38"/>
  <c r="Z12"/>
  <c r="R30"/>
  <c r="R27"/>
  <c r="T10"/>
  <c r="Y37"/>
  <c r="U52" l="1"/>
  <c r="P56"/>
  <c r="T49"/>
  <c r="T23"/>
  <c r="S94"/>
  <c r="S86"/>
  <c r="S25"/>
  <c r="R54"/>
  <c r="Q55"/>
  <c r="U34"/>
  <c r="T45"/>
  <c r="T46"/>
  <c r="T47"/>
  <c r="U4"/>
  <c r="T20"/>
  <c r="T22"/>
  <c r="T19"/>
  <c r="T24"/>
  <c r="T18"/>
  <c r="Y38"/>
  <c r="AA12"/>
  <c r="S30"/>
  <c r="S27"/>
  <c r="U10"/>
  <c r="T33"/>
  <c r="Z37"/>
  <c r="Q56" l="1"/>
  <c r="U49"/>
  <c r="V52"/>
  <c r="T26"/>
  <c r="T94"/>
  <c r="T86"/>
  <c r="T25"/>
  <c r="V4"/>
  <c r="U20"/>
  <c r="U19"/>
  <c r="U24"/>
  <c r="U18"/>
  <c r="U22"/>
  <c r="V34"/>
  <c r="U45"/>
  <c r="U46"/>
  <c r="U47"/>
  <c r="S54"/>
  <c r="R55"/>
  <c r="Z38"/>
  <c r="U33"/>
  <c r="U23"/>
  <c r="AB12"/>
  <c r="T30"/>
  <c r="T27"/>
  <c r="V10"/>
  <c r="AA37"/>
  <c r="AB37"/>
  <c r="V49" l="1"/>
  <c r="R56"/>
  <c r="W52"/>
  <c r="U26"/>
  <c r="U94"/>
  <c r="U86"/>
  <c r="U25"/>
  <c r="W4"/>
  <c r="V20"/>
  <c r="V22"/>
  <c r="V24"/>
  <c r="V18"/>
  <c r="V19"/>
  <c r="T54"/>
  <c r="S55"/>
  <c r="W34"/>
  <c r="V45"/>
  <c r="V46"/>
  <c r="V47"/>
  <c r="V23"/>
  <c r="AB38"/>
  <c r="AA38"/>
  <c r="V33"/>
  <c r="U27"/>
  <c r="U30"/>
  <c r="W10"/>
  <c r="X52" l="1"/>
  <c r="W49"/>
  <c r="S56"/>
  <c r="V94"/>
  <c r="V86"/>
  <c r="V25"/>
  <c r="V26"/>
  <c r="X34"/>
  <c r="W45"/>
  <c r="W46"/>
  <c r="W47"/>
  <c r="U54"/>
  <c r="T55"/>
  <c r="X4"/>
  <c r="W20"/>
  <c r="W24"/>
  <c r="W18"/>
  <c r="W19"/>
  <c r="W22"/>
  <c r="W33"/>
  <c r="W23"/>
  <c r="V30"/>
  <c r="V27"/>
  <c r="X10"/>
  <c r="T56" l="1"/>
  <c r="Y52"/>
  <c r="X49"/>
  <c r="W94"/>
  <c r="W86"/>
  <c r="W25"/>
  <c r="Y34"/>
  <c r="X45"/>
  <c r="X46"/>
  <c r="X47"/>
  <c r="W26"/>
  <c r="V54"/>
  <c r="U55"/>
  <c r="Y4"/>
  <c r="X20"/>
  <c r="X22"/>
  <c r="X19"/>
  <c r="X24"/>
  <c r="X18"/>
  <c r="X33"/>
  <c r="X23"/>
  <c r="W27"/>
  <c r="W30"/>
  <c r="Y10"/>
  <c r="X26" l="1"/>
  <c r="U56"/>
  <c r="Z52"/>
  <c r="Y49"/>
  <c r="X94"/>
  <c r="X25"/>
  <c r="X86"/>
  <c r="Z34"/>
  <c r="Y45"/>
  <c r="Y46"/>
  <c r="Y47"/>
  <c r="Z4"/>
  <c r="Y24"/>
  <c r="Y18"/>
  <c r="Y20"/>
  <c r="Y22"/>
  <c r="Y19"/>
  <c r="W54"/>
  <c r="V55"/>
  <c r="Y33"/>
  <c r="Y23"/>
  <c r="X27"/>
  <c r="X30"/>
  <c r="Z10"/>
  <c r="Z23" s="1"/>
  <c r="Y26" l="1"/>
  <c r="Z49"/>
  <c r="AA52"/>
  <c r="V56"/>
  <c r="Y94"/>
  <c r="Y25"/>
  <c r="Y86"/>
  <c r="X54"/>
  <c r="W55"/>
  <c r="AA4"/>
  <c r="Z19"/>
  <c r="Z26" s="1"/>
  <c r="Z20"/>
  <c r="Z22"/>
  <c r="Z24"/>
  <c r="Z18"/>
  <c r="AA34"/>
  <c r="Z45"/>
  <c r="Z46"/>
  <c r="Z47"/>
  <c r="Y27"/>
  <c r="Y30"/>
  <c r="AA10"/>
  <c r="AA23" s="1"/>
  <c r="Z33"/>
  <c r="AA49" l="1"/>
  <c r="AB52"/>
  <c r="W56"/>
  <c r="Z94"/>
  <c r="Z86"/>
  <c r="Z25"/>
  <c r="AB4"/>
  <c r="AA20"/>
  <c r="AA22"/>
  <c r="AA24"/>
  <c r="AA18"/>
  <c r="AA19"/>
  <c r="AA26" s="1"/>
  <c r="AB34"/>
  <c r="AA45"/>
  <c r="AA46"/>
  <c r="AA47"/>
  <c r="Y54"/>
  <c r="X55"/>
  <c r="AA33"/>
  <c r="Z30"/>
  <c r="Z27"/>
  <c r="AB10"/>
  <c r="AB30"/>
  <c r="X56" l="1"/>
  <c r="AB49"/>
  <c r="AA25"/>
  <c r="AA94"/>
  <c r="AA86"/>
  <c r="Z54"/>
  <c r="Y55"/>
  <c r="AB45"/>
  <c r="AB46"/>
  <c r="AB47"/>
  <c r="AB19"/>
  <c r="AB22"/>
  <c r="AB24"/>
  <c r="AB18"/>
  <c r="AB20"/>
  <c r="AB33"/>
  <c r="AB23"/>
  <c r="AA30"/>
  <c r="AA27"/>
  <c r="Y56" l="1"/>
  <c r="AB94"/>
  <c r="AB27"/>
  <c r="AB86"/>
  <c r="AB25"/>
  <c r="AB26"/>
  <c r="AA54"/>
  <c r="Z55"/>
  <c r="F27" i="28"/>
  <c r="G27"/>
  <c r="H27"/>
  <c r="I27"/>
  <c r="J27"/>
  <c r="K27"/>
  <c r="L27"/>
  <c r="E22"/>
  <c r="E12"/>
  <c r="F18"/>
  <c r="G18" s="1"/>
  <c r="E19"/>
  <c r="F11"/>
  <c r="G11" s="1"/>
  <c r="H11" s="1"/>
  <c r="I11" s="1"/>
  <c r="J11" s="1"/>
  <c r="K11" s="1"/>
  <c r="L11" s="1"/>
  <c r="L12" s="1"/>
  <c r="F23"/>
  <c r="G23" s="1"/>
  <c r="H23" s="1"/>
  <c r="I23" s="1"/>
  <c r="J23" s="1"/>
  <c r="K23" s="1"/>
  <c r="L23" s="1"/>
  <c r="F20"/>
  <c r="G20" s="1"/>
  <c r="H20" s="1"/>
  <c r="I20" s="1"/>
  <c r="J20" s="1"/>
  <c r="K20" s="1"/>
  <c r="L20" s="1"/>
  <c r="L22" s="1"/>
  <c r="E27"/>
  <c r="K81" i="30" l="1"/>
  <c r="K63"/>
  <c r="K64"/>
  <c r="K95" s="1"/>
  <c r="K65"/>
  <c r="K87" s="1"/>
  <c r="Z56"/>
  <c r="AB54"/>
  <c r="AB55" s="1"/>
  <c r="AA55"/>
  <c r="F22" i="28"/>
  <c r="J22"/>
  <c r="H22"/>
  <c r="I22"/>
  <c r="H12"/>
  <c r="H18"/>
  <c r="G19"/>
  <c r="K12"/>
  <c r="G12"/>
  <c r="F19"/>
  <c r="K22"/>
  <c r="G22"/>
  <c r="J12"/>
  <c r="F12"/>
  <c r="I12"/>
  <c r="H64" i="30" l="1"/>
  <c r="H95" s="1"/>
  <c r="H81"/>
  <c r="H63"/>
  <c r="H65"/>
  <c r="H87" s="1"/>
  <c r="I81"/>
  <c r="I63"/>
  <c r="I64"/>
  <c r="I95" s="1"/>
  <c r="I65"/>
  <c r="I87" s="1"/>
  <c r="K93"/>
  <c r="K99" s="1"/>
  <c r="J81"/>
  <c r="J63"/>
  <c r="J64"/>
  <c r="J95" s="1"/>
  <c r="J65"/>
  <c r="J87" s="1"/>
  <c r="K85"/>
  <c r="K90" s="1"/>
  <c r="L64"/>
  <c r="L95" s="1"/>
  <c r="L63"/>
  <c r="L81"/>
  <c r="L65"/>
  <c r="L87" s="1"/>
  <c r="AB56"/>
  <c r="AA56"/>
  <c r="I18" i="28"/>
  <c r="H19"/>
  <c r="K82" i="30" l="1"/>
  <c r="K91"/>
  <c r="K83" s="1"/>
  <c r="J85"/>
  <c r="J90" s="1"/>
  <c r="K98"/>
  <c r="K101" s="1"/>
  <c r="J12" i="6" s="1"/>
  <c r="M31" i="37" s="1"/>
  <c r="I93" i="30"/>
  <c r="I99" s="1"/>
  <c r="H85"/>
  <c r="H90" s="1"/>
  <c r="J93"/>
  <c r="J98" s="1"/>
  <c r="L93"/>
  <c r="K88"/>
  <c r="K89"/>
  <c r="K96"/>
  <c r="K97"/>
  <c r="K50" s="1"/>
  <c r="L85"/>
  <c r="M64"/>
  <c r="M95" s="1"/>
  <c r="M63"/>
  <c r="M81"/>
  <c r="M65"/>
  <c r="M87" s="1"/>
  <c r="I85"/>
  <c r="H93"/>
  <c r="H98" s="1"/>
  <c r="J18" i="28"/>
  <c r="I19"/>
  <c r="K104" i="30" l="1"/>
  <c r="K100"/>
  <c r="K102" s="1"/>
  <c r="J99"/>
  <c r="J82" s="1"/>
  <c r="H99"/>
  <c r="H82" s="1"/>
  <c r="I88"/>
  <c r="I89"/>
  <c r="L88"/>
  <c r="L89"/>
  <c r="I82"/>
  <c r="J101"/>
  <c r="I12" i="6" s="1"/>
  <c r="J31" i="37" s="1"/>
  <c r="I90" i="30"/>
  <c r="L90"/>
  <c r="L99"/>
  <c r="L97"/>
  <c r="L50" s="1"/>
  <c r="L96"/>
  <c r="H101"/>
  <c r="G12" i="6" s="1"/>
  <c r="D31" i="37" s="1"/>
  <c r="I97" i="30"/>
  <c r="I50" s="1"/>
  <c r="I96"/>
  <c r="I91"/>
  <c r="I83" s="1"/>
  <c r="L91"/>
  <c r="L83" s="1"/>
  <c r="K51"/>
  <c r="K105"/>
  <c r="H91"/>
  <c r="H89"/>
  <c r="H88"/>
  <c r="M93"/>
  <c r="M98" s="1"/>
  <c r="H96"/>
  <c r="H97"/>
  <c r="H50" s="1"/>
  <c r="M85"/>
  <c r="M90" s="1"/>
  <c r="N81"/>
  <c r="N63"/>
  <c r="N64"/>
  <c r="N95" s="1"/>
  <c r="N65"/>
  <c r="N87" s="1"/>
  <c r="L98"/>
  <c r="J96"/>
  <c r="J97"/>
  <c r="J50" s="1"/>
  <c r="I98"/>
  <c r="J91"/>
  <c r="J83" s="1"/>
  <c r="J88"/>
  <c r="J89"/>
  <c r="M56" i="37"/>
  <c r="M38"/>
  <c r="M39" s="1"/>
  <c r="M43" s="1"/>
  <c r="M48" s="1"/>
  <c r="K18" i="28"/>
  <c r="J19"/>
  <c r="J11" i="6" l="1"/>
  <c r="L31" i="36" s="1"/>
  <c r="J100" i="30"/>
  <c r="J102" s="1"/>
  <c r="M101"/>
  <c r="L12" i="6" s="1"/>
  <c r="S31" i="37" s="1"/>
  <c r="S38" s="1"/>
  <c r="J104" i="30"/>
  <c r="H100"/>
  <c r="G11" i="6" s="1"/>
  <c r="C31" i="36" s="1"/>
  <c r="H104" i="30"/>
  <c r="L100"/>
  <c r="K11" i="6" s="1"/>
  <c r="O31" i="36" s="1"/>
  <c r="I100" i="30"/>
  <c r="H11" i="6" s="1"/>
  <c r="F31" i="36" s="1"/>
  <c r="N93" i="30"/>
  <c r="N98" s="1"/>
  <c r="N99"/>
  <c r="H83"/>
  <c r="I101"/>
  <c r="H12" i="6" s="1"/>
  <c r="G31" i="37" s="1"/>
  <c r="K103" i="30"/>
  <c r="I51"/>
  <c r="I105"/>
  <c r="J51"/>
  <c r="J105"/>
  <c r="N85"/>
  <c r="N90" s="1"/>
  <c r="O64"/>
  <c r="O95" s="1"/>
  <c r="O81"/>
  <c r="O63"/>
  <c r="O65"/>
  <c r="O87" s="1"/>
  <c r="M99"/>
  <c r="M96"/>
  <c r="M97"/>
  <c r="M50" s="1"/>
  <c r="J38" i="37"/>
  <c r="J39" s="1"/>
  <c r="J43" s="1"/>
  <c r="J48" s="1"/>
  <c r="J56"/>
  <c r="L56" i="36"/>
  <c r="L38"/>
  <c r="H102" i="30"/>
  <c r="L82"/>
  <c r="L104"/>
  <c r="I104"/>
  <c r="L51"/>
  <c r="L105"/>
  <c r="M42" i="37"/>
  <c r="M44"/>
  <c r="M49" s="1"/>
  <c r="M91" i="30"/>
  <c r="M83" s="1"/>
  <c r="M88"/>
  <c r="M89"/>
  <c r="H105"/>
  <c r="H51"/>
  <c r="D38" i="37"/>
  <c r="D56"/>
  <c r="L101" i="30"/>
  <c r="K12" i="6" s="1"/>
  <c r="P31" i="37" s="1"/>
  <c r="L18" i="28"/>
  <c r="K19"/>
  <c r="I11" i="6" l="1"/>
  <c r="I31" i="36" s="1"/>
  <c r="I38" s="1"/>
  <c r="S56" i="37"/>
  <c r="M100" i="30"/>
  <c r="M102" s="1"/>
  <c r="I102"/>
  <c r="I103" s="1"/>
  <c r="S39" i="37"/>
  <c r="S43" s="1"/>
  <c r="S48" s="1"/>
  <c r="S42"/>
  <c r="M82" i="30"/>
  <c r="M104"/>
  <c r="C38" i="36"/>
  <c r="C56"/>
  <c r="N101" i="30"/>
  <c r="M12" i="6" s="1"/>
  <c r="V31" i="37" s="1"/>
  <c r="G38"/>
  <c r="G39" s="1"/>
  <c r="G43" s="1"/>
  <c r="G48" s="1"/>
  <c r="G56"/>
  <c r="D44"/>
  <c r="D49" s="1"/>
  <c r="D42"/>
  <c r="M51" i="30"/>
  <c r="M105"/>
  <c r="M47" i="37"/>
  <c r="M50" s="1"/>
  <c r="M51" s="1"/>
  <c r="M52" s="1"/>
  <c r="N44"/>
  <c r="M54"/>
  <c r="M55" s="1"/>
  <c r="L42" i="36"/>
  <c r="L44"/>
  <c r="L49" s="1"/>
  <c r="J42" i="37"/>
  <c r="J44"/>
  <c r="J49" s="1"/>
  <c r="N91" i="30"/>
  <c r="N83" s="1"/>
  <c r="N88"/>
  <c r="N89"/>
  <c r="L102"/>
  <c r="N82"/>
  <c r="O93"/>
  <c r="O99" s="1"/>
  <c r="O38" i="36"/>
  <c r="O56"/>
  <c r="P56" i="37"/>
  <c r="P38"/>
  <c r="H103" i="30"/>
  <c r="J103"/>
  <c r="F38" i="36"/>
  <c r="F56"/>
  <c r="O85" i="30"/>
  <c r="O91" s="1"/>
  <c r="O83" s="1"/>
  <c r="P81"/>
  <c r="P64"/>
  <c r="P95" s="1"/>
  <c r="P63"/>
  <c r="P65"/>
  <c r="P87" s="1"/>
  <c r="N96"/>
  <c r="N97"/>
  <c r="N50" s="1"/>
  <c r="L19" i="28"/>
  <c r="I56" i="36" l="1"/>
  <c r="L11" i="6"/>
  <c r="R31" i="36" s="1"/>
  <c r="R56" s="1"/>
  <c r="S44" i="37"/>
  <c r="S49" s="1"/>
  <c r="M103" i="30"/>
  <c r="P39" i="37"/>
  <c r="P43" s="1"/>
  <c r="P48" s="1"/>
  <c r="P42"/>
  <c r="O82" i="30"/>
  <c r="N100"/>
  <c r="M57" i="37"/>
  <c r="J14" i="35" s="1"/>
  <c r="Y31" i="37"/>
  <c r="V38"/>
  <c r="V39" s="1"/>
  <c r="V43" s="1"/>
  <c r="V56"/>
  <c r="C44" i="36"/>
  <c r="C49" s="1"/>
  <c r="C42"/>
  <c r="P93" i="30"/>
  <c r="O90"/>
  <c r="O89"/>
  <c r="O88"/>
  <c r="O98"/>
  <c r="O96"/>
  <c r="O97"/>
  <c r="O50" s="1"/>
  <c r="N104"/>
  <c r="M44" i="36"/>
  <c r="L47"/>
  <c r="L50" s="1"/>
  <c r="L51" s="1"/>
  <c r="L52" s="1"/>
  <c r="L54"/>
  <c r="L55" s="1"/>
  <c r="I42"/>
  <c r="I44"/>
  <c r="I49" s="1"/>
  <c r="L103" i="30"/>
  <c r="S47" i="37"/>
  <c r="P85" i="30"/>
  <c r="P90" s="1"/>
  <c r="Q63"/>
  <c r="Q64"/>
  <c r="Q95" s="1"/>
  <c r="Q81"/>
  <c r="Q65"/>
  <c r="Q87" s="1"/>
  <c r="F44" i="36"/>
  <c r="F49" s="1"/>
  <c r="F42"/>
  <c r="O44"/>
  <c r="O49" s="1"/>
  <c r="O42"/>
  <c r="N105" i="30"/>
  <c r="N51"/>
  <c r="K44" i="37"/>
  <c r="J47"/>
  <c r="J50" s="1"/>
  <c r="J51" s="1"/>
  <c r="J52" s="1"/>
  <c r="J54"/>
  <c r="J55" s="1"/>
  <c r="D47"/>
  <c r="D50" s="1"/>
  <c r="D51" s="1"/>
  <c r="D52" s="1"/>
  <c r="E44"/>
  <c r="D54"/>
  <c r="D55" s="1"/>
  <c r="G42"/>
  <c r="G44"/>
  <c r="G49" s="1"/>
  <c r="T44" l="1"/>
  <c r="R38" i="36"/>
  <c r="R42" s="1"/>
  <c r="S54" i="37"/>
  <c r="S55" s="1"/>
  <c r="S50"/>
  <c r="S51" s="1"/>
  <c r="S52" s="1"/>
  <c r="O101" i="30"/>
  <c r="N12" i="6" s="1"/>
  <c r="L57" i="36"/>
  <c r="J13" i="35" s="1"/>
  <c r="J15" s="1"/>
  <c r="J16" s="1"/>
  <c r="D57" i="37"/>
  <c r="G14" i="35" s="1"/>
  <c r="P44" i="37"/>
  <c r="P49" s="1"/>
  <c r="G47"/>
  <c r="G50" s="1"/>
  <c r="G51" s="1"/>
  <c r="G52" s="1"/>
  <c r="G54"/>
  <c r="G55" s="1"/>
  <c r="H44"/>
  <c r="I47" i="36"/>
  <c r="I50" s="1"/>
  <c r="I51" s="1"/>
  <c r="I52" s="1"/>
  <c r="I54"/>
  <c r="I55" s="1"/>
  <c r="J44"/>
  <c r="O100" i="30"/>
  <c r="P99"/>
  <c r="P96"/>
  <c r="P97"/>
  <c r="P50" s="1"/>
  <c r="M11" i="6"/>
  <c r="U31" i="36" s="1"/>
  <c r="N102" i="30"/>
  <c r="P47" i="37"/>
  <c r="J57"/>
  <c r="I14" i="35" s="1"/>
  <c r="G44" i="36"/>
  <c r="F47"/>
  <c r="F50" s="1"/>
  <c r="F51" s="1"/>
  <c r="F52" s="1"/>
  <c r="F54"/>
  <c r="F55" s="1"/>
  <c r="Q93" i="30"/>
  <c r="Q99" s="1"/>
  <c r="P91"/>
  <c r="P83" s="1"/>
  <c r="P88"/>
  <c r="P89"/>
  <c r="O51"/>
  <c r="O105"/>
  <c r="C54" i="36"/>
  <c r="C55" s="1"/>
  <c r="C47"/>
  <c r="C50" s="1"/>
  <c r="C51" s="1"/>
  <c r="C52" s="1"/>
  <c r="D44"/>
  <c r="V42" i="37"/>
  <c r="V44"/>
  <c r="O104" i="30"/>
  <c r="Z31" i="37"/>
  <c r="Y56"/>
  <c r="P44" i="36"/>
  <c r="O47"/>
  <c r="O50" s="1"/>
  <c r="O51" s="1"/>
  <c r="O52" s="1"/>
  <c r="O54"/>
  <c r="O55" s="1"/>
  <c r="Q85" i="30"/>
  <c r="Q91" s="1"/>
  <c r="Q83" s="1"/>
  <c r="R81"/>
  <c r="R63"/>
  <c r="R64"/>
  <c r="R95" s="1"/>
  <c r="R65"/>
  <c r="R87" s="1"/>
  <c r="P98"/>
  <c r="P101" s="1"/>
  <c r="O12" i="6" s="1"/>
  <c r="V48" i="37"/>
  <c r="Y43"/>
  <c r="Z43" s="1"/>
  <c r="AA43" s="1"/>
  <c r="AB43" s="1"/>
  <c r="AC43" s="1"/>
  <c r="AD43" s="1"/>
  <c r="AE43" s="1"/>
  <c r="AF43" s="1"/>
  <c r="AG43" s="1"/>
  <c r="AH43" s="1"/>
  <c r="AI43" s="1"/>
  <c r="AJ43" s="1"/>
  <c r="AK43" s="1"/>
  <c r="S57" l="1"/>
  <c r="L14" i="35" s="1"/>
  <c r="R44" i="36"/>
  <c r="R49" s="1"/>
  <c r="P100" i="30"/>
  <c r="P54" i="37"/>
  <c r="P55" s="1"/>
  <c r="P50"/>
  <c r="P51" s="1"/>
  <c r="P52" s="1"/>
  <c r="Q44"/>
  <c r="V49"/>
  <c r="Y44"/>
  <c r="Z44" s="1"/>
  <c r="AA44" s="1"/>
  <c r="AB44" s="1"/>
  <c r="AC44" s="1"/>
  <c r="AD44" s="1"/>
  <c r="AE44" s="1"/>
  <c r="AF44" s="1"/>
  <c r="AG44" s="1"/>
  <c r="AH44" s="1"/>
  <c r="AI44" s="1"/>
  <c r="AJ44" s="1"/>
  <c r="AK44" s="1"/>
  <c r="R93" i="30"/>
  <c r="R99" s="1"/>
  <c r="Q82"/>
  <c r="Q90"/>
  <c r="Q88"/>
  <c r="Q89"/>
  <c r="P105"/>
  <c r="P51"/>
  <c r="Q98"/>
  <c r="Q97"/>
  <c r="Q50" s="1"/>
  <c r="Q96"/>
  <c r="N103"/>
  <c r="P82"/>
  <c r="P104"/>
  <c r="I57" i="36"/>
  <c r="I13" i="35" s="1"/>
  <c r="I15" s="1"/>
  <c r="I16" s="1"/>
  <c r="G57" i="37"/>
  <c r="H14" i="35" s="1"/>
  <c r="AA31" i="37"/>
  <c r="Z56"/>
  <c r="P102" i="30"/>
  <c r="O11" i="6"/>
  <c r="U38" i="36"/>
  <c r="U56"/>
  <c r="X56" s="1"/>
  <c r="Y56" s="1"/>
  <c r="Z56" s="1"/>
  <c r="AA56" s="1"/>
  <c r="AB56" s="1"/>
  <c r="AC56" s="1"/>
  <c r="AD56" s="1"/>
  <c r="AE56" s="1"/>
  <c r="AF56" s="1"/>
  <c r="AG56" s="1"/>
  <c r="AH56" s="1"/>
  <c r="AI56" s="1"/>
  <c r="AJ56" s="1"/>
  <c r="O102" i="30"/>
  <c r="N11" i="6"/>
  <c r="R85" i="30"/>
  <c r="R90" s="1"/>
  <c r="S63"/>
  <c r="S81"/>
  <c r="S64"/>
  <c r="S95" s="1"/>
  <c r="S65"/>
  <c r="S87" s="1"/>
  <c r="O57" i="36"/>
  <c r="K13" i="35" s="1"/>
  <c r="R47" i="36"/>
  <c r="V47" i="37"/>
  <c r="Y42"/>
  <c r="W44"/>
  <c r="V54"/>
  <c r="V55" s="1"/>
  <c r="F57" i="36"/>
  <c r="H13" i="35" s="1"/>
  <c r="C57" i="36"/>
  <c r="S44" l="1"/>
  <c r="R50"/>
  <c r="R51" s="1"/>
  <c r="R52" s="1"/>
  <c r="R54"/>
  <c r="R55" s="1"/>
  <c r="P57" i="37"/>
  <c r="K14" i="35" s="1"/>
  <c r="K15" s="1"/>
  <c r="K16" s="1"/>
  <c r="Q104" i="30"/>
  <c r="V50" i="37"/>
  <c r="V51" s="1"/>
  <c r="Y51" s="1"/>
  <c r="H15" i="35"/>
  <c r="H16" s="1"/>
  <c r="Z42" i="37"/>
  <c r="Y54"/>
  <c r="Y55" s="1"/>
  <c r="Q100" i="30"/>
  <c r="R82"/>
  <c r="S85"/>
  <c r="S90" s="1"/>
  <c r="T81"/>
  <c r="T63"/>
  <c r="T64"/>
  <c r="T95" s="1"/>
  <c r="T65"/>
  <c r="T87" s="1"/>
  <c r="O103"/>
  <c r="P103"/>
  <c r="Q101"/>
  <c r="P12" i="6" s="1"/>
  <c r="R98" i="30"/>
  <c r="R101" s="1"/>
  <c r="Q12" i="6" s="1"/>
  <c r="R96" i="30"/>
  <c r="R97"/>
  <c r="R50" s="1"/>
  <c r="S93"/>
  <c r="S98" s="1"/>
  <c r="R91"/>
  <c r="R83" s="1"/>
  <c r="R89"/>
  <c r="R88"/>
  <c r="U42" i="36"/>
  <c r="U44"/>
  <c r="AB31" i="37"/>
  <c r="AA56"/>
  <c r="Q105" i="30"/>
  <c r="Q51"/>
  <c r="G13" i="35"/>
  <c r="G15" s="1"/>
  <c r="R57" i="36" l="1"/>
  <c r="L13" i="35" s="1"/>
  <c r="L15" s="1"/>
  <c r="L16" s="1"/>
  <c r="V52" i="37"/>
  <c r="V57" s="1"/>
  <c r="M14" i="35" s="1"/>
  <c r="R100" i="30"/>
  <c r="Q11" i="6" s="1"/>
  <c r="S99" i="30"/>
  <c r="S82" s="1"/>
  <c r="S101"/>
  <c r="R12" i="6" s="1"/>
  <c r="U54" i="36"/>
  <c r="U55" s="1"/>
  <c r="X42"/>
  <c r="U47"/>
  <c r="V44"/>
  <c r="AC31" i="37"/>
  <c r="AB56"/>
  <c r="R105" i="30"/>
  <c r="R51"/>
  <c r="T85"/>
  <c r="T91" s="1"/>
  <c r="T83" s="1"/>
  <c r="U64"/>
  <c r="U95" s="1"/>
  <c r="U63"/>
  <c r="U81"/>
  <c r="U65"/>
  <c r="U87" s="1"/>
  <c r="R104"/>
  <c r="X44" i="36"/>
  <c r="Y44" s="1"/>
  <c r="Z44" s="1"/>
  <c r="AA44" s="1"/>
  <c r="AB44" s="1"/>
  <c r="AC44" s="1"/>
  <c r="AD44" s="1"/>
  <c r="AE44" s="1"/>
  <c r="AF44" s="1"/>
  <c r="AG44" s="1"/>
  <c r="AH44" s="1"/>
  <c r="AI44" s="1"/>
  <c r="AJ44" s="1"/>
  <c r="U49"/>
  <c r="T93" i="30"/>
  <c r="T99" s="1"/>
  <c r="Q102"/>
  <c r="P11" i="6"/>
  <c r="Y52" i="37"/>
  <c r="Y57" s="1"/>
  <c r="N14" i="35" s="1"/>
  <c r="Z51" i="37"/>
  <c r="S91" i="30"/>
  <c r="S83" s="1"/>
  <c r="S88"/>
  <c r="S89"/>
  <c r="S97"/>
  <c r="S50" s="1"/>
  <c r="S96"/>
  <c r="Z54" i="37"/>
  <c r="Z55" s="1"/>
  <c r="AA42"/>
  <c r="G16" i="35"/>
  <c r="R102" i="30" l="1"/>
  <c r="AA51" i="37"/>
  <c r="Z52"/>
  <c r="Z57" s="1"/>
  <c r="O14" i="35" s="1"/>
  <c r="T82" i="30"/>
  <c r="AB42" i="37"/>
  <c r="AA54"/>
  <c r="AA55" s="1"/>
  <c r="S100" i="30"/>
  <c r="Q103"/>
  <c r="T90"/>
  <c r="T89"/>
  <c r="T88"/>
  <c r="AD31" i="37"/>
  <c r="AC56"/>
  <c r="U50" i="36"/>
  <c r="U51" s="1"/>
  <c r="U93" i="30"/>
  <c r="U99" s="1"/>
  <c r="X54" i="36"/>
  <c r="X55" s="1"/>
  <c r="Y42"/>
  <c r="S105" i="30"/>
  <c r="S51"/>
  <c r="T98"/>
  <c r="T97"/>
  <c r="T50" s="1"/>
  <c r="T96"/>
  <c r="U85"/>
  <c r="U90" s="1"/>
  <c r="V81"/>
  <c r="V64"/>
  <c r="V95" s="1"/>
  <c r="V63"/>
  <c r="V65"/>
  <c r="V87" s="1"/>
  <c r="S104"/>
  <c r="R103" l="1"/>
  <c r="T100"/>
  <c r="S11" i="6" s="1"/>
  <c r="U82" i="30"/>
  <c r="R11" i="6"/>
  <c r="S102" i="30"/>
  <c r="V93"/>
  <c r="U91"/>
  <c r="U83" s="1"/>
  <c r="U88"/>
  <c r="U89"/>
  <c r="X51" i="36"/>
  <c r="U52"/>
  <c r="U57" s="1"/>
  <c r="M13" i="35" s="1"/>
  <c r="M15" s="1"/>
  <c r="T105" i="30"/>
  <c r="T51"/>
  <c r="AC42" i="37"/>
  <c r="AB54"/>
  <c r="AB55" s="1"/>
  <c r="AA52"/>
  <c r="AA57" s="1"/>
  <c r="P14" i="35" s="1"/>
  <c r="AB51" i="37"/>
  <c r="V85" i="30"/>
  <c r="V90" s="1"/>
  <c r="W64"/>
  <c r="W95" s="1"/>
  <c r="W63"/>
  <c r="W81"/>
  <c r="W65"/>
  <c r="W87" s="1"/>
  <c r="AD56" i="37"/>
  <c r="AE31"/>
  <c r="Y54" i="36"/>
  <c r="Y55" s="1"/>
  <c r="Z42"/>
  <c r="U97" i="30"/>
  <c r="U50" s="1"/>
  <c r="U96"/>
  <c r="U98"/>
  <c r="U101" s="1"/>
  <c r="T12" i="6" s="1"/>
  <c r="T101" i="30"/>
  <c r="S12" i="6" s="1"/>
  <c r="T104" i="30"/>
  <c r="T102" l="1"/>
  <c r="T103" s="1"/>
  <c r="AE56" i="37"/>
  <c r="AF31"/>
  <c r="W93" i="30"/>
  <c r="W98" s="1"/>
  <c r="AC51" i="37"/>
  <c r="AB52"/>
  <c r="AB57" s="1"/>
  <c r="Q14" i="35" s="1"/>
  <c r="U51" i="30"/>
  <c r="U105"/>
  <c r="V99"/>
  <c r="V97"/>
  <c r="V50" s="1"/>
  <c r="V96"/>
  <c r="S103"/>
  <c r="W85"/>
  <c r="W90" s="1"/>
  <c r="X64"/>
  <c r="X95" s="1"/>
  <c r="X63"/>
  <c r="X81"/>
  <c r="X65"/>
  <c r="X87" s="1"/>
  <c r="U100"/>
  <c r="M16" i="35"/>
  <c r="U104" i="30"/>
  <c r="Z54" i="36"/>
  <c r="Z55" s="1"/>
  <c r="AA42"/>
  <c r="V91" i="30"/>
  <c r="V83" s="1"/>
  <c r="V88"/>
  <c r="V89"/>
  <c r="AC54" i="37"/>
  <c r="AC55" s="1"/>
  <c r="AD42"/>
  <c r="Y51" i="36"/>
  <c r="X52"/>
  <c r="X57" s="1"/>
  <c r="N13" i="35" s="1"/>
  <c r="N15" s="1"/>
  <c r="N16" s="1"/>
  <c r="V98" i="30"/>
  <c r="V101" s="1"/>
  <c r="U12" i="6" s="1"/>
  <c r="V100" i="30" l="1"/>
  <c r="U11" i="6" s="1"/>
  <c r="W101" i="30"/>
  <c r="V12" i="6" s="1"/>
  <c r="U102" i="30"/>
  <c r="T11" i="6"/>
  <c r="Y52" i="36"/>
  <c r="Y57" s="1"/>
  <c r="O13" i="35" s="1"/>
  <c r="O15" s="1"/>
  <c r="O16" s="1"/>
  <c r="Z51" i="36"/>
  <c r="X85" i="30"/>
  <c r="X91" s="1"/>
  <c r="X83" s="1"/>
  <c r="Y81"/>
  <c r="Y64"/>
  <c r="Y95" s="1"/>
  <c r="Y63"/>
  <c r="Y65"/>
  <c r="Y87" s="1"/>
  <c r="AE42" i="37"/>
  <c r="AD54"/>
  <c r="AD55" s="1"/>
  <c r="W99" i="30"/>
  <c r="W97"/>
  <c r="W50" s="1"/>
  <c r="W96"/>
  <c r="AA54" i="36"/>
  <c r="AA55" s="1"/>
  <c r="AB42"/>
  <c r="W91" i="30"/>
  <c r="W83" s="1"/>
  <c r="W89"/>
  <c r="W88"/>
  <c r="AG31" i="37"/>
  <c r="AF56"/>
  <c r="V105" i="30"/>
  <c r="V51"/>
  <c r="X93"/>
  <c r="X99" s="1"/>
  <c r="V82"/>
  <c r="V104"/>
  <c r="AC52" i="37"/>
  <c r="AC57" s="1"/>
  <c r="R14" i="35" s="1"/>
  <c r="AD51" i="37"/>
  <c r="V102" i="30" l="1"/>
  <c r="V103" s="1"/>
  <c r="W100"/>
  <c r="V11" i="6" s="1"/>
  <c r="AA51" i="36"/>
  <c r="Z52"/>
  <c r="Z57" s="1"/>
  <c r="P13" i="35" s="1"/>
  <c r="P15" s="1"/>
  <c r="AC42" i="36"/>
  <c r="AB54"/>
  <c r="AB55" s="1"/>
  <c r="W104" i="30"/>
  <c r="W82"/>
  <c r="Z64"/>
  <c r="Z95" s="1"/>
  <c r="Z63"/>
  <c r="Z81"/>
  <c r="Z65"/>
  <c r="Z87" s="1"/>
  <c r="AD52" i="37"/>
  <c r="AD57" s="1"/>
  <c r="S14" i="35" s="1"/>
  <c r="AE51" i="37"/>
  <c r="AH31"/>
  <c r="AG56"/>
  <c r="Y85" i="30"/>
  <c r="Y91" s="1"/>
  <c r="Y83" s="1"/>
  <c r="X82"/>
  <c r="X98"/>
  <c r="X97"/>
  <c r="X50" s="1"/>
  <c r="X96"/>
  <c r="W105"/>
  <c r="W51"/>
  <c r="AF42" i="37"/>
  <c r="AE54"/>
  <c r="AE55" s="1"/>
  <c r="Y93" i="30"/>
  <c r="Y99" s="1"/>
  <c r="X90"/>
  <c r="X88"/>
  <c r="X89"/>
  <c r="U103"/>
  <c r="X100" l="1"/>
  <c r="W11" i="6" s="1"/>
  <c r="W102" i="30"/>
  <c r="W103" s="1"/>
  <c r="X104"/>
  <c r="Y82"/>
  <c r="AF51" i="37"/>
  <c r="AE52"/>
  <c r="AE57" s="1"/>
  <c r="T14" i="35" s="1"/>
  <c r="Z85" i="30"/>
  <c r="Z91" s="1"/>
  <c r="Z83" s="1"/>
  <c r="AA81"/>
  <c r="AA63"/>
  <c r="AA64"/>
  <c r="AA95" s="1"/>
  <c r="AA65"/>
  <c r="AA87" s="1"/>
  <c r="AC54" i="36"/>
  <c r="AC55" s="1"/>
  <c r="AD42"/>
  <c r="X101" i="30"/>
  <c r="W12" i="6" s="1"/>
  <c r="AG42" i="37"/>
  <c r="AF54"/>
  <c r="AF55" s="1"/>
  <c r="AI31"/>
  <c r="AH56"/>
  <c r="P16" i="35"/>
  <c r="AB51" i="36"/>
  <c r="AA52"/>
  <c r="AA57" s="1"/>
  <c r="Q13" i="35" s="1"/>
  <c r="Q15" s="1"/>
  <c r="Q16" s="1"/>
  <c r="X105" i="30"/>
  <c r="X51"/>
  <c r="Y98"/>
  <c r="Y97"/>
  <c r="Y50" s="1"/>
  <c r="Y96"/>
  <c r="Y90"/>
  <c r="Y88"/>
  <c r="Y89"/>
  <c r="Z93"/>
  <c r="Z99" s="1"/>
  <c r="Z98" l="1"/>
  <c r="Y100"/>
  <c r="X11" i="6" s="1"/>
  <c r="Z90" i="30"/>
  <c r="X102"/>
  <c r="Z82"/>
  <c r="AC51" i="36"/>
  <c r="AB52"/>
  <c r="AB57" s="1"/>
  <c r="R13" i="35" s="1"/>
  <c r="R15" s="1"/>
  <c r="AI56" i="37"/>
  <c r="AJ31"/>
  <c r="AE42" i="36"/>
  <c r="AD54"/>
  <c r="AD55" s="1"/>
  <c r="AG54" i="37"/>
  <c r="AG55" s="1"/>
  <c r="AH42"/>
  <c r="AA85" i="30"/>
  <c r="AA90" s="1"/>
  <c r="AB63"/>
  <c r="AB64"/>
  <c r="AB95" s="1"/>
  <c r="AB81"/>
  <c r="AB65"/>
  <c r="AB87" s="1"/>
  <c r="Y105"/>
  <c r="Y51"/>
  <c r="AA93"/>
  <c r="AG51" i="37"/>
  <c r="AF52"/>
  <c r="AF57" s="1"/>
  <c r="U14" i="35" s="1"/>
  <c r="Z96" i="30"/>
  <c r="Z97"/>
  <c r="Z50" s="1"/>
  <c r="Y101"/>
  <c r="X12" i="6" s="1"/>
  <c r="Z89" i="30"/>
  <c r="Z88"/>
  <c r="Z100" s="1"/>
  <c r="Y104"/>
  <c r="Z101" l="1"/>
  <c r="Y12" i="6" s="1"/>
  <c r="X103" i="30"/>
  <c r="Z104"/>
  <c r="Y102"/>
  <c r="Y103" s="1"/>
  <c r="Y11" i="6"/>
  <c r="AA98" i="30"/>
  <c r="AA101" s="1"/>
  <c r="Z12" i="6" s="1"/>
  <c r="AA97" i="30"/>
  <c r="AA50" s="1"/>
  <c r="AA96"/>
  <c r="AJ56" i="37"/>
  <c r="AK31"/>
  <c r="AK56" s="1"/>
  <c r="Z105" i="30"/>
  <c r="Z51"/>
  <c r="AB85"/>
  <c r="AB91" s="1"/>
  <c r="AB83" s="1"/>
  <c r="AH51" i="37"/>
  <c r="AG52"/>
  <c r="AG57" s="1"/>
  <c r="V14" i="35" s="1"/>
  <c r="AA91" i="30"/>
  <c r="AA83" s="1"/>
  <c r="AA88"/>
  <c r="AA89"/>
  <c r="R16" i="35"/>
  <c r="AA99" i="30"/>
  <c r="AB93"/>
  <c r="AB98" s="1"/>
  <c r="AI42" i="37"/>
  <c r="AH54"/>
  <c r="AH55" s="1"/>
  <c r="AF42" i="36"/>
  <c r="AE54"/>
  <c r="AE55" s="1"/>
  <c r="AC52"/>
  <c r="AC57" s="1"/>
  <c r="S13" i="35" s="1"/>
  <c r="S15" s="1"/>
  <c r="S16" s="1"/>
  <c r="AD51" i="36"/>
  <c r="Z102" i="30" l="1"/>
  <c r="Z103" s="1"/>
  <c r="AA100"/>
  <c r="Z11" i="6" s="1"/>
  <c r="AD52" i="36"/>
  <c r="AD57" s="1"/>
  <c r="T13" i="35" s="1"/>
  <c r="T15" s="1"/>
  <c r="T16" s="1"/>
  <c r="AE51" i="36"/>
  <c r="AA51" i="30"/>
  <c r="AA105"/>
  <c r="AH52" i="37"/>
  <c r="AH57" s="1"/>
  <c r="W14" i="35" s="1"/>
  <c r="AI51" i="37"/>
  <c r="AI54"/>
  <c r="AI55" s="1"/>
  <c r="AJ42"/>
  <c r="AA82" i="30"/>
  <c r="AA104"/>
  <c r="AB97"/>
  <c r="AB50" s="1"/>
  <c r="AB96"/>
  <c r="AF54" i="36"/>
  <c r="AF55" s="1"/>
  <c r="AG42"/>
  <c r="AB99" i="30"/>
  <c r="AB90"/>
  <c r="AB101" s="1"/>
  <c r="AA12" i="6" s="1"/>
  <c r="AB88" i="30"/>
  <c r="AB89"/>
  <c r="AA102" l="1"/>
  <c r="AB51"/>
  <c r="AB105"/>
  <c r="AB100"/>
  <c r="AB104"/>
  <c r="AB82"/>
  <c r="AK42" i="37"/>
  <c r="AK54" s="1"/>
  <c r="AK55" s="1"/>
  <c r="AJ54"/>
  <c r="AJ55" s="1"/>
  <c r="AH42" i="36"/>
  <c r="AG54"/>
  <c r="AG55" s="1"/>
  <c r="AJ51" i="37"/>
  <c r="AI52"/>
  <c r="AI57" s="1"/>
  <c r="X14" i="35" s="1"/>
  <c r="AE52" i="36"/>
  <c r="AE57" s="1"/>
  <c r="U13" i="35" s="1"/>
  <c r="U15" s="1"/>
  <c r="U16" s="1"/>
  <c r="AF51" i="36"/>
  <c r="AA103" i="30" l="1"/>
  <c r="AJ52" i="37"/>
  <c r="AJ57" s="1"/>
  <c r="Y14" i="35" s="1"/>
  <c r="AK51" i="37"/>
  <c r="AK52" s="1"/>
  <c r="AK57" s="1"/>
  <c r="Z14" i="35" s="1"/>
  <c r="AG51" i="36"/>
  <c r="AF52"/>
  <c r="AF57" s="1"/>
  <c r="V13" i="35" s="1"/>
  <c r="V15" s="1"/>
  <c r="V16" s="1"/>
  <c r="AA11" i="6"/>
  <c r="AB102" i="30"/>
  <c r="AH54" i="36"/>
  <c r="AH55" s="1"/>
  <c r="AI42"/>
  <c r="AI54" l="1"/>
  <c r="AI55" s="1"/>
  <c r="AJ42"/>
  <c r="AJ54" s="1"/>
  <c r="AJ55" s="1"/>
  <c r="AG52"/>
  <c r="AG57" s="1"/>
  <c r="W13" i="35" s="1"/>
  <c r="W15" s="1"/>
  <c r="W16" s="1"/>
  <c r="AH51" i="36"/>
  <c r="AB103" i="30"/>
  <c r="AH52" i="36" l="1"/>
  <c r="AH57" s="1"/>
  <c r="X13" i="35" s="1"/>
  <c r="X15" s="1"/>
  <c r="X16" s="1"/>
  <c r="AI51" i="36"/>
  <c r="AI52" l="1"/>
  <c r="AI57" s="1"/>
  <c r="Y13" i="35" s="1"/>
  <c r="Y15" s="1"/>
  <c r="Y16" s="1"/>
  <c r="AJ51" i="36"/>
  <c r="AJ52" s="1"/>
  <c r="AJ57" s="1"/>
  <c r="Z13" i="35" s="1"/>
  <c r="Z15" s="1"/>
  <c r="Z16" l="1"/>
  <c r="B24"/>
  <c r="B21" s="1"/>
  <c r="B19" l="1"/>
  <c r="B20"/>
</calcChain>
</file>

<file path=xl/comments1.xml><?xml version="1.0" encoding="utf-8"?>
<comments xmlns="http://schemas.openxmlformats.org/spreadsheetml/2006/main">
  <authors>
    <author>Adela Comanita</author>
  </authors>
  <commentList>
    <comment ref="B74" authorId="0">
      <text>
        <r>
          <rPr>
            <b/>
            <sz val="9"/>
            <color indexed="81"/>
            <rFont val="Tahoma"/>
            <family val="2"/>
          </rPr>
          <t>Adela Comanita:</t>
        </r>
        <r>
          <rPr>
            <sz val="9"/>
            <color indexed="81"/>
            <rFont val="Tahoma"/>
            <family val="2"/>
          </rPr>
          <t xml:space="preserve">
to be inserted
</t>
        </r>
      </text>
    </comment>
  </commentList>
</comments>
</file>

<file path=xl/comments2.xml><?xml version="1.0" encoding="utf-8"?>
<comments xmlns="http://schemas.openxmlformats.org/spreadsheetml/2006/main">
  <authors>
    <author>Adam Balogh</author>
  </authors>
  <commentList>
    <comment ref="F43" authorId="0">
      <text>
        <r>
          <rPr>
            <b/>
            <sz val="9"/>
            <color indexed="81"/>
            <rFont val="Tahoma"/>
            <family val="2"/>
          </rPr>
          <t>Adam Balogh:</t>
        </r>
        <r>
          <rPr>
            <sz val="9"/>
            <color indexed="81"/>
            <rFont val="Tahoma"/>
            <family val="2"/>
          </rPr>
          <t xml:space="preserve">
Some of lignite could be substituted only with the allocated gas
</t>
        </r>
      </text>
    </comment>
    <comment ref="I43" authorId="0">
      <text>
        <r>
          <rPr>
            <b/>
            <sz val="9"/>
            <color indexed="81"/>
            <rFont val="Tahoma"/>
            <family val="2"/>
          </rPr>
          <t>Adam Balogh:</t>
        </r>
        <r>
          <rPr>
            <sz val="9"/>
            <color indexed="81"/>
            <rFont val="Tahoma"/>
            <family val="2"/>
          </rPr>
          <t xml:space="preserve">
Some of lignite could be substituted only with the allocated gas
</t>
        </r>
      </text>
    </comment>
    <comment ref="L43" authorId="0">
      <text>
        <r>
          <rPr>
            <b/>
            <sz val="9"/>
            <color indexed="81"/>
            <rFont val="Tahoma"/>
            <family val="2"/>
          </rPr>
          <t>Adam Balogh:</t>
        </r>
        <r>
          <rPr>
            <sz val="9"/>
            <color indexed="81"/>
            <rFont val="Tahoma"/>
            <family val="2"/>
          </rPr>
          <t xml:space="preserve">
Some of lignite could be substituted only with the allocated gas
</t>
        </r>
      </text>
    </comment>
    <comment ref="O43" authorId="0">
      <text>
        <r>
          <rPr>
            <b/>
            <sz val="9"/>
            <color indexed="81"/>
            <rFont val="Tahoma"/>
            <family val="2"/>
          </rPr>
          <t>Adam Balogh:</t>
        </r>
        <r>
          <rPr>
            <sz val="9"/>
            <color indexed="81"/>
            <rFont val="Tahoma"/>
            <family val="2"/>
          </rPr>
          <t xml:space="preserve">
Some of lignite could be substituted only with the allocated gas
</t>
        </r>
      </text>
    </comment>
  </commentList>
</comments>
</file>

<file path=xl/comments3.xml><?xml version="1.0" encoding="utf-8"?>
<comments xmlns="http://schemas.openxmlformats.org/spreadsheetml/2006/main">
  <authors>
    <author>Adam Balogh</author>
  </authors>
  <commentList>
    <comment ref="D43" authorId="0">
      <text>
        <r>
          <rPr>
            <b/>
            <sz val="9"/>
            <color indexed="81"/>
            <rFont val="Tahoma"/>
            <family val="2"/>
          </rPr>
          <t>Adam Balogh:</t>
        </r>
        <r>
          <rPr>
            <sz val="9"/>
            <color indexed="81"/>
            <rFont val="Tahoma"/>
            <family val="2"/>
          </rPr>
          <t xml:space="preserve">
Some of lignite could be substituted only with the allocated gas
</t>
        </r>
      </text>
    </comment>
    <comment ref="G43" authorId="0">
      <text>
        <r>
          <rPr>
            <b/>
            <sz val="9"/>
            <color indexed="81"/>
            <rFont val="Tahoma"/>
            <family val="2"/>
          </rPr>
          <t>Adam Balogh:</t>
        </r>
        <r>
          <rPr>
            <sz val="9"/>
            <color indexed="81"/>
            <rFont val="Tahoma"/>
            <family val="2"/>
          </rPr>
          <t xml:space="preserve">
Some of lignite could be substituted only with the allocated gas
</t>
        </r>
      </text>
    </comment>
    <comment ref="M43" authorId="0">
      <text>
        <r>
          <rPr>
            <b/>
            <sz val="9"/>
            <color indexed="81"/>
            <rFont val="Tahoma"/>
            <family val="2"/>
          </rPr>
          <t>Adam Balogh:</t>
        </r>
        <r>
          <rPr>
            <sz val="9"/>
            <color indexed="81"/>
            <rFont val="Tahoma"/>
            <family val="2"/>
          </rPr>
          <t xml:space="preserve">
Some of lignite could be substituted only with the allocated gas
</t>
        </r>
      </text>
    </comment>
    <comment ref="P43" authorId="0">
      <text>
        <r>
          <rPr>
            <b/>
            <sz val="9"/>
            <color indexed="81"/>
            <rFont val="Tahoma"/>
            <family val="2"/>
          </rPr>
          <t>Adam Balogh:</t>
        </r>
        <r>
          <rPr>
            <sz val="9"/>
            <color indexed="81"/>
            <rFont val="Tahoma"/>
            <family val="2"/>
          </rPr>
          <t xml:space="preserve">
Some of lignite could be substituted only with the allocated gas
</t>
        </r>
      </text>
    </comment>
    <comment ref="S43" authorId="0">
      <text>
        <r>
          <rPr>
            <b/>
            <sz val="9"/>
            <color indexed="81"/>
            <rFont val="Tahoma"/>
            <family val="2"/>
          </rPr>
          <t>Adam Balogh:</t>
        </r>
        <r>
          <rPr>
            <sz val="9"/>
            <color indexed="81"/>
            <rFont val="Tahoma"/>
            <family val="2"/>
          </rPr>
          <t xml:space="preserve">
Some of lignite could be substituted only with the allocated gas
</t>
        </r>
      </text>
    </comment>
    <comment ref="V43" authorId="0">
      <text>
        <r>
          <rPr>
            <b/>
            <sz val="9"/>
            <color indexed="81"/>
            <rFont val="Tahoma"/>
            <family val="2"/>
          </rPr>
          <t>Adam Balogh:</t>
        </r>
        <r>
          <rPr>
            <sz val="9"/>
            <color indexed="81"/>
            <rFont val="Tahoma"/>
            <family val="2"/>
          </rPr>
          <t xml:space="preserve">
Some of lignite could be substituted only with the allocated gas
</t>
        </r>
      </text>
    </comment>
  </commentList>
</comments>
</file>

<file path=xl/sharedStrings.xml><?xml version="1.0" encoding="utf-8"?>
<sst xmlns="http://schemas.openxmlformats.org/spreadsheetml/2006/main" count="440" uniqueCount="193">
  <si>
    <t>Existing Infrastructureplus FID proposed projects</t>
  </si>
  <si>
    <t>IP</t>
  </si>
  <si>
    <t>Country</t>
  </si>
  <si>
    <t>National Production</t>
  </si>
  <si>
    <t>LNG</t>
  </si>
  <si>
    <t>INJ</t>
  </si>
  <si>
    <t>Dsa</t>
  </si>
  <si>
    <t>WITH</t>
  </si>
  <si>
    <t>WITH max</t>
  </si>
  <si>
    <t>Dwa</t>
  </si>
  <si>
    <t>Dh</t>
  </si>
  <si>
    <t>Year</t>
  </si>
  <si>
    <t>SACB</t>
  </si>
  <si>
    <t>WACP</t>
  </si>
  <si>
    <t>DCB</t>
  </si>
  <si>
    <t>Input data</t>
  </si>
  <si>
    <t>INJ (w/o)</t>
  </si>
  <si>
    <t>WITH (w/o)</t>
  </si>
  <si>
    <t>INJ (w)</t>
  </si>
  <si>
    <t>WITH (w)</t>
  </si>
  <si>
    <t>WITH max (w/o)</t>
  </si>
  <si>
    <t>WITH max (w)</t>
  </si>
  <si>
    <t>Indicators (w/o)</t>
  </si>
  <si>
    <t>No</t>
  </si>
  <si>
    <t>EX</t>
  </si>
  <si>
    <t>WACB</t>
  </si>
  <si>
    <t>Indicators (w1)</t>
  </si>
  <si>
    <t xml:space="preserve"> </t>
  </si>
  <si>
    <t>∆ B</t>
  </si>
  <si>
    <r>
      <rPr>
        <b/>
        <sz val="11"/>
        <color theme="1"/>
        <rFont val="Calibri (Body)"/>
        <charset val="1"/>
      </rPr>
      <t>∆</t>
    </r>
    <r>
      <rPr>
        <b/>
        <sz val="11"/>
        <color theme="1"/>
        <rFont val="Calibri"/>
        <family val="2"/>
      </rPr>
      <t xml:space="preserve"> B</t>
    </r>
  </si>
  <si>
    <r>
      <rPr>
        <b/>
        <sz val="11"/>
        <color theme="1"/>
        <rFont val="Calibri (Body)"/>
        <charset val="1"/>
      </rPr>
      <t>∆</t>
    </r>
    <r>
      <rPr>
        <b/>
        <sz val="11"/>
        <color theme="1"/>
        <rFont val="Calibri"/>
        <family val="2"/>
      </rPr>
      <t xml:space="preserve"> C</t>
    </r>
  </si>
  <si>
    <t>∆ C</t>
  </si>
  <si>
    <r>
      <rPr>
        <b/>
        <sz val="11"/>
        <color theme="1"/>
        <rFont val="Calibri (Body)"/>
        <charset val="1"/>
      </rPr>
      <t>∆</t>
    </r>
    <r>
      <rPr>
        <b/>
        <sz val="11"/>
        <color theme="1"/>
        <rFont val="Calibri"/>
        <family val="2"/>
      </rPr>
      <t xml:space="preserve">  for distribution total</t>
    </r>
  </si>
  <si>
    <t>∆  for distribution total</t>
  </si>
  <si>
    <t>Distribution of volumes to country B per day</t>
  </si>
  <si>
    <t>Distribution of volumes to country C per day</t>
  </si>
  <si>
    <t>Distribution of volumes to country B per year</t>
  </si>
  <si>
    <t>Distribution of volumes to country C per year</t>
  </si>
  <si>
    <t>Total volumes distributed to country B per year (GWh/year)</t>
  </si>
  <si>
    <t>Total volumes distributed from country A to country B and C ( GWh/y)</t>
  </si>
  <si>
    <t>Volume distribution DCB  per day (GWh/d)</t>
  </si>
  <si>
    <t>Volume distribution WACB per day (GWh/d)</t>
  </si>
  <si>
    <t>Volume distribution WACB per year (GWh/y)</t>
  </si>
  <si>
    <t xml:space="preserve">Volume distribution DCB per year (GWh/y) </t>
  </si>
  <si>
    <t>Total volumes distributed to countryC (GWh/y)</t>
  </si>
  <si>
    <t>Output</t>
  </si>
  <si>
    <t>Pro Rata Allocation based on the results of the indicator DCBm(14 days)</t>
  </si>
  <si>
    <t>Pro Rata Allocation based on the results of the indicator WACB (183 days)</t>
  </si>
  <si>
    <t xml:space="preserve">A </t>
  </si>
  <si>
    <t>WACP∆  = (w-w/o)</t>
  </si>
  <si>
    <t>SACB   ∆= (w-w/o)</t>
  </si>
  <si>
    <t>DCB ∆= (w-w/o)</t>
  </si>
  <si>
    <t>Indicator DCB target value after distribution</t>
  </si>
  <si>
    <t>Indicator WACB target value after distribution</t>
  </si>
  <si>
    <t>Indicators (w  after distribution)</t>
  </si>
  <si>
    <t>Control line ( total volumes per year)</t>
  </si>
  <si>
    <t>Control line volumes per day (WACB)</t>
  </si>
  <si>
    <t>Control line volumes per day (DCB)</t>
  </si>
  <si>
    <t>PROJECT SPECIFIC INPUT DATA</t>
  </si>
  <si>
    <t>Economic costs</t>
  </si>
  <si>
    <t>Investment cost</t>
  </si>
  <si>
    <t>mEUR</t>
  </si>
  <si>
    <t xml:space="preserve">              -  </t>
  </si>
  <si>
    <t xml:space="preserve">         -  </t>
  </si>
  <si>
    <t xml:space="preserve">                     -  </t>
  </si>
  <si>
    <t>O&amp;M costs</t>
  </si>
  <si>
    <t xml:space="preserve">          -  </t>
  </si>
  <si>
    <t xml:space="preserve">        -  </t>
  </si>
  <si>
    <t>Replacement costs</t>
  </si>
  <si>
    <t>Residual value</t>
  </si>
  <si>
    <t>Gas Volumes</t>
  </si>
  <si>
    <t>Country B</t>
  </si>
  <si>
    <t>Country C</t>
  </si>
  <si>
    <t>Gas</t>
  </si>
  <si>
    <t>Coal</t>
  </si>
  <si>
    <t>Lignite</t>
  </si>
  <si>
    <t>SDR</t>
  </si>
  <si>
    <t>Total saved costs</t>
  </si>
  <si>
    <t>Economic flow based on the saved cost approach</t>
  </si>
  <si>
    <t>Total costs</t>
  </si>
  <si>
    <t>Saved costs country B</t>
  </si>
  <si>
    <t>Net benefits</t>
  </si>
  <si>
    <t>Output data</t>
  </si>
  <si>
    <t>ENPV (m EUR)</t>
  </si>
  <si>
    <t>ERR</t>
  </si>
  <si>
    <t>B/C ratio</t>
  </si>
  <si>
    <t>NPV costs</t>
  </si>
  <si>
    <t>NPV benefits</t>
  </si>
  <si>
    <t>STEP 1</t>
  </si>
  <si>
    <r>
      <t xml:space="preserve">Gross electricity generation in year </t>
    </r>
    <r>
      <rPr>
        <b/>
        <i/>
        <sz val="12"/>
        <color theme="1"/>
        <rFont val="Calibri"/>
        <family val="2"/>
        <scheme val="minor"/>
      </rPr>
      <t>Y</t>
    </r>
    <r>
      <rPr>
        <b/>
        <sz val="12"/>
        <color theme="1"/>
        <rFont val="Calibri"/>
        <family val="2"/>
        <scheme val="minor"/>
      </rPr>
      <t xml:space="preserve"> (GWh)</t>
    </r>
  </si>
  <si>
    <t>Original electricity generation mix (% and GWh)</t>
  </si>
  <si>
    <t xml:space="preserve">Oil </t>
  </si>
  <si>
    <t>STEP 2</t>
  </si>
  <si>
    <t>Net Thermal Efficiency of generation (including PP own consumption) (%)</t>
  </si>
  <si>
    <t>Natural Gas</t>
  </si>
  <si>
    <t>Physical Constant -  Specific CO2 emission of fuels/net energy released</t>
  </si>
  <si>
    <t>kg/TJ</t>
  </si>
  <si>
    <t>kg/GWh</t>
  </si>
  <si>
    <t>1TJ =</t>
  </si>
  <si>
    <t>Oil</t>
  </si>
  <si>
    <t>Original emission of the fuel mix (t)</t>
  </si>
  <si>
    <t>Cummulated original emission</t>
  </si>
  <si>
    <t>STEP 3</t>
  </si>
  <si>
    <t>Amount of natural gas required to generate same amount of electricity (GWh)</t>
  </si>
  <si>
    <t>Allocated natural gas for the country per year (GWh)</t>
  </si>
  <si>
    <t>Possibly Substituted - 66,6% of the production</t>
  </si>
  <si>
    <t>Lingnite</t>
  </si>
  <si>
    <t>STEP 4</t>
  </si>
  <si>
    <t>Cummulated new emission</t>
  </si>
  <si>
    <t>Saved CO2 emission (t)</t>
  </si>
  <si>
    <r>
      <t>Orig. G</t>
    </r>
    <r>
      <rPr>
        <b/>
        <vertAlign val="superscript"/>
        <sz val="12"/>
        <color theme="1"/>
        <rFont val="Calibri"/>
        <family val="2"/>
        <scheme val="minor"/>
      </rPr>
      <t>0</t>
    </r>
    <r>
      <rPr>
        <b/>
        <sz val="12"/>
        <color theme="1"/>
        <rFont val="Calibri"/>
        <family val="2"/>
        <scheme val="minor"/>
      </rPr>
      <t xml:space="preserve"> elec. gen./fuel</t>
    </r>
  </si>
  <si>
    <r>
      <t xml:space="preserve">Original Fuel mix (GWh) </t>
    </r>
    <r>
      <rPr>
        <sz val="12"/>
        <color theme="1"/>
        <rFont val="Calibri"/>
        <family val="2"/>
        <scheme val="minor"/>
      </rPr>
      <t>to generate given electricity amount</t>
    </r>
  </si>
  <si>
    <r>
      <t xml:space="preserve">To be substitued -  </t>
    </r>
    <r>
      <rPr>
        <sz val="12"/>
        <color theme="1"/>
        <rFont val="Calibri"/>
        <family val="2"/>
        <scheme val="minor"/>
      </rPr>
      <t>in the order of pollution</t>
    </r>
  </si>
  <si>
    <r>
      <t xml:space="preserve">New fuel mix, including gas for substitution (GWh) </t>
    </r>
    <r>
      <rPr>
        <sz val="12"/>
        <color theme="1"/>
        <rFont val="Calibri"/>
        <family val="2"/>
        <scheme val="minor"/>
      </rPr>
      <t>to generate given electricity amount</t>
    </r>
  </si>
  <si>
    <r>
      <t xml:space="preserve">Emission of the new fuel mix (t) </t>
    </r>
    <r>
      <rPr>
        <sz val="12"/>
        <color theme="1"/>
        <rFont val="Calibri"/>
        <family val="2"/>
        <scheme val="minor"/>
      </rPr>
      <t>after substitution</t>
    </r>
  </si>
  <si>
    <t>Price</t>
  </si>
  <si>
    <t>Input data/year</t>
  </si>
  <si>
    <t>CO2 price/tone - EUR</t>
  </si>
  <si>
    <t>Natural Gas - EUR/GWh</t>
  </si>
  <si>
    <t>Oil - EUR/GWh</t>
  </si>
  <si>
    <t>Steam Coal - EUR/Gwh</t>
  </si>
  <si>
    <t>Input data for the calculation of saved costs</t>
  </si>
  <si>
    <t>Saved CO2 emission cost (mEUR/yr)</t>
  </si>
  <si>
    <t>Saved costs of fuels (mEUR)</t>
  </si>
  <si>
    <t>Cost of fuels after substitutionEUR</t>
  </si>
  <si>
    <t>Cost of fuels before substitution mEUR</t>
  </si>
  <si>
    <t>Swing value for the UGS ( EUR/GWh)</t>
  </si>
  <si>
    <t>Saved costs of swing</t>
  </si>
  <si>
    <t>Cost of fuels after substitution (mEUR)</t>
  </si>
  <si>
    <t>Cost of fuels before substitution (mEUR)</t>
  </si>
  <si>
    <t>Total saved costs country C (mEUR)</t>
  </si>
  <si>
    <t>Saved costs country C</t>
  </si>
  <si>
    <t>Saved costs of swing (mEUR)</t>
  </si>
  <si>
    <t>Total saved costs  country C (mEUR)</t>
  </si>
  <si>
    <t>Assumptions</t>
  </si>
  <si>
    <t xml:space="preserve"> Investment in country A</t>
  </si>
  <si>
    <t>UGS project, which consists in the conversion of an onshore depleted gas field into an UGS</t>
  </si>
  <si>
    <t>The project is a non FID project and will be comissioned in 2017</t>
  </si>
  <si>
    <t>Volumes distributed to country B (GWh/y)</t>
  </si>
  <si>
    <t>Volumes distributed to country C (GWh/y)</t>
  </si>
  <si>
    <t>Calculation of the residual value</t>
  </si>
  <si>
    <t>Investment costs</t>
  </si>
  <si>
    <t>Depreciation for the operational time horizon</t>
  </si>
  <si>
    <t>Period of depreciation (years)</t>
  </si>
  <si>
    <t>Yearly depreciation (mEUR)</t>
  </si>
  <si>
    <t>Residual value by the end of the time horizon</t>
  </si>
  <si>
    <t>Discounted residual value</t>
  </si>
  <si>
    <t>For simplicity , it is considered that the operational costs represent 3% from the total investment costs.</t>
  </si>
  <si>
    <t>After comissioning, the new asset will have a period of depreciation of 40 years, and the calculation of the depreciation is linear.</t>
  </si>
  <si>
    <t>The UGS will  deliver a maximum withdrawal capacity of 110 GWh/day.</t>
  </si>
  <si>
    <t>IP1</t>
  </si>
  <si>
    <t>IP2</t>
  </si>
  <si>
    <t>IP3</t>
  </si>
  <si>
    <t>Country 1&gt;A</t>
  </si>
  <si>
    <t>A&gt;B</t>
  </si>
  <si>
    <t>C&gt;A</t>
  </si>
  <si>
    <t>B&gt;A</t>
  </si>
  <si>
    <t>A&gt;</t>
  </si>
  <si>
    <t>A&gt;2</t>
  </si>
  <si>
    <t>A&gt;1</t>
  </si>
  <si>
    <t>A&gt;3</t>
  </si>
  <si>
    <t>A&gt;C</t>
  </si>
  <si>
    <t>3&gt;C</t>
  </si>
  <si>
    <t>B&gt;5</t>
  </si>
  <si>
    <t>The area of analysis includes 5 countries,but in the analysis the calculation has been done for the countries considered to be in need, ie those countries with negative results for the indicators. These countries are country B  and country C.</t>
  </si>
  <si>
    <t>Country A</t>
  </si>
  <si>
    <t>IP4</t>
  </si>
  <si>
    <t>IP5</t>
  </si>
  <si>
    <t>Exit B</t>
  </si>
  <si>
    <t>Ips B</t>
  </si>
  <si>
    <t>Exit A</t>
  </si>
  <si>
    <t>4&gt;B</t>
  </si>
  <si>
    <t>Total</t>
  </si>
  <si>
    <t>Ips C</t>
  </si>
  <si>
    <t>Exit C</t>
  </si>
  <si>
    <t>Ips A</t>
  </si>
  <si>
    <t>Country B&gt;A</t>
  </si>
  <si>
    <t>Country 2&gt;A</t>
  </si>
  <si>
    <t>GWh/d</t>
  </si>
  <si>
    <t>IP firm capacity</t>
  </si>
  <si>
    <t>Total &gt;A</t>
  </si>
  <si>
    <t>Country C&gt;A</t>
  </si>
  <si>
    <t xml:space="preserve">C </t>
  </si>
  <si>
    <t xml:space="preserve">B </t>
  </si>
  <si>
    <t>Step 5</t>
  </si>
  <si>
    <t>Step  5</t>
  </si>
  <si>
    <t>Total investment costs of the project are 600  mil EUR, distrubuted equally in 4 years during the construction</t>
  </si>
  <si>
    <t>The project is a FID project and is to be comissioned  in 2017.</t>
  </si>
  <si>
    <t>Note:</t>
  </si>
  <si>
    <t>The data regarding Ips  and infrastructure capacities can be found in ENTSOG TYNDP, annex D</t>
  </si>
  <si>
    <t xml:space="preserve">Reference: </t>
  </si>
  <si>
    <t>World Energy Outlook 2012 (IEA) - New Policy Scenario</t>
  </si>
  <si>
    <t xml:space="preserve">For swing value: EIB assumptions from an UGS case study ( presented during  ENTSOG's TYNDP workshop 20th June 2012) </t>
  </si>
</sst>
</file>

<file path=xl/styles.xml><?xml version="1.0" encoding="utf-8"?>
<styleSheet xmlns="http://schemas.openxmlformats.org/spreadsheetml/2006/main">
  <numFmts count="8">
    <numFmt numFmtId="164" formatCode="&quot;€&quot;\ #,##0.00;[Red]&quot;€&quot;\ \-#,##0.00"/>
    <numFmt numFmtId="165" formatCode="_ * #,##0_ ;_ * \-#,##0_ ;_ * &quot;-&quot;_ ;_ @_ "/>
    <numFmt numFmtId="166" formatCode="_ * #,##0.00_ ;_ * \-#,##0.00_ ;_ * &quot;-&quot;??_ ;_ @_ "/>
    <numFmt numFmtId="167" formatCode="0.0"/>
    <numFmt numFmtId="168" formatCode="#,##0.0"/>
    <numFmt numFmtId="169" formatCode="_ * #,##0_ ;_ * \-#,##0_ ;_ * &quot;-&quot;??_ ;_ @_ "/>
    <numFmt numFmtId="170" formatCode="_ * #,##0.0_ ;_ * \-#,##0.0_ ;_ * &quot;-&quot;??_ ;_ @_ "/>
    <numFmt numFmtId="171" formatCode="_ * #,##0.0_ ;_ * \-#,##0.0_ ;_ * &quot;-&quot;?_ ;_ @_ "/>
  </numFmts>
  <fonts count="28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color theme="1"/>
      <name val="Calibri (Body)"/>
      <charset val="1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2"/>
      <color theme="0"/>
      <name val="Calibri (Body)"/>
      <family val="2"/>
    </font>
    <font>
      <b/>
      <sz val="12"/>
      <color theme="1"/>
      <name val="Calibri (Body)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 (Body)"/>
    </font>
    <font>
      <b/>
      <sz val="11"/>
      <name val="Calibri (Body)"/>
    </font>
    <font>
      <b/>
      <sz val="11"/>
      <color rgb="FFFF0000"/>
      <name val="Calibri (Body)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166" fontId="6" fillId="0" borderId="0" applyFont="0" applyFill="0" applyBorder="0" applyAlignment="0" applyProtection="0"/>
    <xf numFmtId="0" fontId="13" fillId="0" borderId="0"/>
    <xf numFmtId="9" fontId="6" fillId="0" borderId="0" applyFont="0" applyFill="0" applyBorder="0" applyAlignment="0" applyProtection="0"/>
  </cellStyleXfs>
  <cellXfs count="318">
    <xf numFmtId="0" fontId="0" fillId="0" borderId="0" xfId="0"/>
    <xf numFmtId="0" fontId="1" fillId="0" borderId="0" xfId="0" applyFont="1"/>
    <xf numFmtId="0" fontId="0" fillId="0" borderId="1" xfId="0" applyBorder="1"/>
    <xf numFmtId="0" fontId="2" fillId="0" borderId="1" xfId="0" applyFont="1" applyBorder="1"/>
    <xf numFmtId="0" fontId="1" fillId="0" borderId="1" xfId="0" applyFont="1" applyBorder="1"/>
    <xf numFmtId="0" fontId="0" fillId="0" borderId="1" xfId="0" applyFont="1" applyBorder="1"/>
    <xf numFmtId="0" fontId="2" fillId="0" borderId="1" xfId="0" applyFont="1" applyFill="1" applyBorder="1"/>
    <xf numFmtId="2" fontId="0" fillId="0" borderId="1" xfId="0" applyNumberFormat="1" applyBorder="1"/>
    <xf numFmtId="0" fontId="0" fillId="0" borderId="1" xfId="0" applyFill="1" applyBorder="1"/>
    <xf numFmtId="0" fontId="0" fillId="2" borderId="1" xfId="0" applyFill="1" applyBorder="1"/>
    <xf numFmtId="4" fontId="0" fillId="0" borderId="1" xfId="0" applyNumberFormat="1" applyBorder="1"/>
    <xf numFmtId="0" fontId="0" fillId="0" borderId="5" xfId="0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2" fontId="0" fillId="6" borderId="1" xfId="0" applyNumberFormat="1" applyFill="1" applyBorder="1"/>
    <xf numFmtId="0" fontId="0" fillId="6" borderId="0" xfId="0" applyFill="1"/>
    <xf numFmtId="0" fontId="0" fillId="4" borderId="0" xfId="0" applyFill="1"/>
    <xf numFmtId="2" fontId="0" fillId="4" borderId="1" xfId="0" applyNumberFormat="1" applyFill="1" applyBorder="1"/>
    <xf numFmtId="0" fontId="0" fillId="4" borderId="1" xfId="0" applyFill="1" applyBorder="1" applyAlignment="1">
      <alignment horizontal="right"/>
    </xf>
    <xf numFmtId="1" fontId="0" fillId="4" borderId="1" xfId="0" applyNumberFormat="1" applyFill="1" applyBorder="1"/>
    <xf numFmtId="0" fontId="0" fillId="3" borderId="1" xfId="0" applyFill="1" applyBorder="1" applyAlignment="1">
      <alignment horizontal="center"/>
    </xf>
    <xf numFmtId="0" fontId="1" fillId="4" borderId="1" xfId="0" applyFont="1" applyFill="1" applyBorder="1"/>
    <xf numFmtId="0" fontId="0" fillId="0" borderId="0" xfId="0" applyFill="1"/>
    <xf numFmtId="0" fontId="0" fillId="0" borderId="1" xfId="0" applyFill="1" applyBorder="1" applyAlignment="1">
      <alignment wrapText="1"/>
    </xf>
    <xf numFmtId="0" fontId="0" fillId="8" borderId="0" xfId="0" applyFill="1"/>
    <xf numFmtId="2" fontId="0" fillId="8" borderId="1" xfId="0" applyNumberFormat="1" applyFill="1" applyBorder="1"/>
    <xf numFmtId="2" fontId="0" fillId="9" borderId="1" xfId="0" applyNumberFormat="1" applyFill="1" applyBorder="1"/>
    <xf numFmtId="2" fontId="0" fillId="7" borderId="1" xfId="0" applyNumberFormat="1" applyFill="1" applyBorder="1"/>
    <xf numFmtId="0" fontId="3" fillId="0" borderId="0" xfId="0" applyFont="1" applyFill="1"/>
    <xf numFmtId="2" fontId="3" fillId="9" borderId="1" xfId="0" applyNumberFormat="1" applyFont="1" applyFill="1" applyBorder="1"/>
    <xf numFmtId="4" fontId="0" fillId="7" borderId="1" xfId="0" applyNumberFormat="1" applyFill="1" applyBorder="1"/>
    <xf numFmtId="0" fontId="0" fillId="6" borderId="1" xfId="0" applyFill="1" applyBorder="1" applyAlignment="1">
      <alignment horizontal="right"/>
    </xf>
    <xf numFmtId="0" fontId="0" fillId="6" borderId="0" xfId="0" applyFill="1" applyBorder="1" applyAlignment="1">
      <alignment horizontal="right"/>
    </xf>
    <xf numFmtId="1" fontId="7" fillId="6" borderId="16" xfId="1" applyNumberFormat="1" applyFont="1" applyFill="1" applyBorder="1" applyAlignment="1">
      <alignment horizontal="right" vertical="top" wrapText="1"/>
    </xf>
    <xf numFmtId="0" fontId="0" fillId="6" borderId="0" xfId="0" applyFill="1" applyAlignment="1">
      <alignment horizontal="right"/>
    </xf>
    <xf numFmtId="1" fontId="0" fillId="6" borderId="1" xfId="0" applyNumberFormat="1" applyFill="1" applyBorder="1"/>
    <xf numFmtId="0" fontId="0" fillId="6" borderId="1" xfId="0" applyFill="1" applyBorder="1" applyAlignment="1">
      <alignment horizontal="left"/>
    </xf>
    <xf numFmtId="2" fontId="1" fillId="6" borderId="1" xfId="0" applyNumberFormat="1" applyFont="1" applyFill="1" applyBorder="1"/>
    <xf numFmtId="2" fontId="3" fillId="6" borderId="5" xfId="0" applyNumberFormat="1" applyFont="1" applyFill="1" applyBorder="1" applyAlignment="1">
      <alignment wrapText="1"/>
    </xf>
    <xf numFmtId="2" fontId="0" fillId="6" borderId="1" xfId="0" applyNumberFormat="1" applyFill="1" applyBorder="1" applyAlignment="1">
      <alignment horizontal="right"/>
    </xf>
    <xf numFmtId="2" fontId="0" fillId="6" borderId="0" xfId="0" applyNumberFormat="1" applyFill="1"/>
    <xf numFmtId="0" fontId="3" fillId="6" borderId="1" xfId="0" applyFont="1" applyFill="1" applyBorder="1" applyAlignment="1">
      <alignment wrapText="1"/>
    </xf>
    <xf numFmtId="0" fontId="3" fillId="6" borderId="5" xfId="0" applyFont="1" applyFill="1" applyBorder="1" applyAlignment="1">
      <alignment wrapText="1"/>
    </xf>
    <xf numFmtId="0" fontId="3" fillId="6" borderId="1" xfId="0" applyFont="1" applyFill="1" applyBorder="1" applyAlignment="1">
      <alignment horizontal="center" wrapText="1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right"/>
    </xf>
    <xf numFmtId="0" fontId="0" fillId="5" borderId="1" xfId="0" applyFill="1" applyBorder="1" applyAlignment="1">
      <alignment horizontal="right"/>
    </xf>
    <xf numFmtId="1" fontId="0" fillId="5" borderId="1" xfId="0" applyNumberFormat="1" applyFill="1" applyBorder="1"/>
    <xf numFmtId="0" fontId="0" fillId="5" borderId="0" xfId="0" applyFill="1"/>
    <xf numFmtId="0" fontId="3" fillId="5" borderId="1" xfId="0" applyFont="1" applyFill="1" applyBorder="1"/>
    <xf numFmtId="2" fontId="0" fillId="5" borderId="1" xfId="0" applyNumberFormat="1" applyFill="1" applyBorder="1"/>
    <xf numFmtId="0" fontId="0" fillId="5" borderId="2" xfId="0" applyFill="1" applyBorder="1" applyAlignment="1">
      <alignment horizontal="right"/>
    </xf>
    <xf numFmtId="0" fontId="0" fillId="5" borderId="0" xfId="0" applyFill="1" applyBorder="1"/>
    <xf numFmtId="4" fontId="0" fillId="8" borderId="1" xfId="0" applyNumberFormat="1" applyFill="1" applyBorder="1"/>
    <xf numFmtId="4" fontId="0" fillId="8" borderId="2" xfId="0" applyNumberFormat="1" applyFill="1" applyBorder="1"/>
    <xf numFmtId="0" fontId="3" fillId="0" borderId="4" xfId="0" applyFont="1" applyFill="1" applyBorder="1" applyAlignment="1">
      <alignment vertical="center"/>
    </xf>
    <xf numFmtId="0" fontId="3" fillId="5" borderId="1" xfId="0" applyFont="1" applyFill="1" applyBorder="1" applyAlignment="1">
      <alignment horizontal="right"/>
    </xf>
    <xf numFmtId="0" fontId="12" fillId="0" borderId="0" xfId="0" applyFont="1"/>
    <xf numFmtId="0" fontId="11" fillId="0" borderId="0" xfId="0" applyFont="1"/>
    <xf numFmtId="4" fontId="0" fillId="0" borderId="0" xfId="0" applyNumberFormat="1"/>
    <xf numFmtId="0" fontId="0" fillId="0" borderId="0" xfId="0" applyFill="1" applyBorder="1"/>
    <xf numFmtId="0" fontId="15" fillId="0" borderId="0" xfId="0" applyFont="1"/>
    <xf numFmtId="0" fontId="14" fillId="2" borderId="1" xfId="0" applyFont="1" applyFill="1" applyBorder="1" applyAlignment="1"/>
    <xf numFmtId="0" fontId="15" fillId="2" borderId="17" xfId="0" applyFont="1" applyFill="1" applyBorder="1"/>
    <xf numFmtId="0" fontId="14" fillId="0" borderId="1" xfId="0" applyFont="1" applyBorder="1"/>
    <xf numFmtId="0" fontId="16" fillId="10" borderId="0" xfId="0" applyFont="1" applyFill="1"/>
    <xf numFmtId="169" fontId="15" fillId="10" borderId="3" xfId="1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vertical="center" wrapText="1"/>
    </xf>
    <xf numFmtId="0" fontId="15" fillId="2" borderId="0" xfId="0" applyFont="1" applyFill="1"/>
    <xf numFmtId="9" fontId="15" fillId="2" borderId="3" xfId="0" applyNumberFormat="1" applyFont="1" applyFill="1" applyBorder="1" applyAlignment="1">
      <alignment horizontal="center" vertical="center"/>
    </xf>
    <xf numFmtId="9" fontId="15" fillId="2" borderId="18" xfId="0" applyNumberFormat="1" applyFont="1" applyFill="1" applyBorder="1" applyAlignment="1">
      <alignment horizontal="center" vertical="center"/>
    </xf>
    <xf numFmtId="0" fontId="15" fillId="10" borderId="3" xfId="0" applyFont="1" applyFill="1" applyBorder="1" applyAlignment="1">
      <alignment horizontal="center" vertical="center"/>
    </xf>
    <xf numFmtId="9" fontId="15" fillId="2" borderId="4" xfId="0" applyNumberFormat="1" applyFont="1" applyFill="1" applyBorder="1" applyAlignment="1">
      <alignment horizontal="center" vertical="center"/>
    </xf>
    <xf numFmtId="0" fontId="15" fillId="2" borderId="14" xfId="0" applyFont="1" applyFill="1" applyBorder="1"/>
    <xf numFmtId="170" fontId="15" fillId="2" borderId="3" xfId="1" applyNumberFormat="1" applyFont="1" applyFill="1" applyBorder="1" applyAlignment="1">
      <alignment horizontal="center" vertical="center"/>
    </xf>
    <xf numFmtId="170" fontId="15" fillId="2" borderId="4" xfId="1" applyNumberFormat="1" applyFont="1" applyFill="1" applyBorder="1" applyAlignment="1">
      <alignment horizontal="center" vertical="center"/>
    </xf>
    <xf numFmtId="0" fontId="18" fillId="10" borderId="3" xfId="0" applyFont="1" applyFill="1" applyBorder="1" applyAlignment="1">
      <alignment horizontal="center" vertical="center"/>
    </xf>
    <xf numFmtId="170" fontId="15" fillId="2" borderId="3" xfId="0" applyNumberFormat="1" applyFont="1" applyFill="1" applyBorder="1" applyAlignment="1">
      <alignment horizontal="center" vertical="center"/>
    </xf>
    <xf numFmtId="170" fontId="15" fillId="2" borderId="4" xfId="0" applyNumberFormat="1" applyFont="1" applyFill="1" applyBorder="1" applyAlignment="1">
      <alignment horizontal="center" vertical="center"/>
    </xf>
    <xf numFmtId="170" fontId="15" fillId="12" borderId="4" xfId="1" applyNumberFormat="1" applyFont="1" applyFill="1" applyBorder="1" applyAlignment="1">
      <alignment horizontal="center" vertical="center"/>
    </xf>
    <xf numFmtId="0" fontId="15" fillId="2" borderId="0" xfId="0" applyFont="1" applyFill="1" applyBorder="1"/>
    <xf numFmtId="171" fontId="15" fillId="2" borderId="3" xfId="0" applyNumberFormat="1" applyFont="1" applyFill="1" applyBorder="1" applyAlignment="1">
      <alignment horizontal="center" vertical="center"/>
    </xf>
    <xf numFmtId="0" fontId="15" fillId="2" borderId="12" xfId="0" applyFont="1" applyFill="1" applyBorder="1"/>
    <xf numFmtId="170" fontId="15" fillId="2" borderId="12" xfId="1" applyNumberFormat="1" applyFont="1" applyFill="1" applyBorder="1" applyAlignment="1">
      <alignment horizontal="center" vertical="center"/>
    </xf>
    <xf numFmtId="170" fontId="15" fillId="2" borderId="18" xfId="1" applyNumberFormat="1" applyFont="1" applyFill="1" applyBorder="1" applyAlignment="1">
      <alignment horizontal="center" vertical="center"/>
    </xf>
    <xf numFmtId="166" fontId="15" fillId="2" borderId="3" xfId="1" applyFont="1" applyFill="1" applyBorder="1" applyAlignment="1">
      <alignment horizontal="center" vertical="center"/>
    </xf>
    <xf numFmtId="166" fontId="15" fillId="2" borderId="4" xfId="1" applyFont="1" applyFill="1" applyBorder="1" applyAlignment="1">
      <alignment horizontal="center" vertical="center"/>
    </xf>
    <xf numFmtId="0" fontId="16" fillId="0" borderId="0" xfId="0" applyFont="1"/>
    <xf numFmtId="0" fontId="15" fillId="10" borderId="5" xfId="0" applyFont="1" applyFill="1" applyBorder="1" applyAlignment="1">
      <alignment horizontal="center" vertical="center"/>
    </xf>
    <xf numFmtId="0" fontId="15" fillId="10" borderId="7" xfId="0" applyFont="1" applyFill="1" applyBorder="1" applyAlignment="1">
      <alignment horizontal="center" vertical="center"/>
    </xf>
    <xf numFmtId="170" fontId="16" fillId="2" borderId="5" xfId="1" applyNumberFormat="1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8" fillId="10" borderId="5" xfId="0" applyFont="1" applyFill="1" applyBorder="1" applyAlignment="1">
      <alignment horizontal="center" vertical="center"/>
    </xf>
    <xf numFmtId="0" fontId="18" fillId="10" borderId="7" xfId="0" applyFont="1" applyFill="1" applyBorder="1" applyAlignment="1">
      <alignment horizontal="center" vertical="center"/>
    </xf>
    <xf numFmtId="169" fontId="15" fillId="2" borderId="5" xfId="1" applyNumberFormat="1" applyFont="1" applyFill="1" applyBorder="1" applyAlignment="1">
      <alignment horizontal="center" vertical="center"/>
    </xf>
    <xf numFmtId="0" fontId="15" fillId="12" borderId="5" xfId="0" applyFont="1" applyFill="1" applyBorder="1" applyAlignment="1">
      <alignment horizontal="center" vertical="center"/>
    </xf>
    <xf numFmtId="0" fontId="15" fillId="12" borderId="7" xfId="0" applyFont="1" applyFill="1" applyBorder="1" applyAlignment="1">
      <alignment horizontal="center" vertical="center"/>
    </xf>
    <xf numFmtId="171" fontId="16" fillId="2" borderId="5" xfId="0" applyNumberFormat="1" applyFont="1" applyFill="1" applyBorder="1" applyAlignment="1">
      <alignment horizontal="center" vertical="center"/>
    </xf>
    <xf numFmtId="0" fontId="15" fillId="0" borderId="1" xfId="0" applyFont="1" applyBorder="1"/>
    <xf numFmtId="0" fontId="15" fillId="10" borderId="13" xfId="0" applyFont="1" applyFill="1" applyBorder="1" applyAlignment="1">
      <alignment horizontal="center" vertical="center"/>
    </xf>
    <xf numFmtId="0" fontId="15" fillId="10" borderId="15" xfId="0" applyFont="1" applyFill="1" applyBorder="1" applyAlignment="1">
      <alignment horizontal="center" vertical="center"/>
    </xf>
    <xf numFmtId="0" fontId="16" fillId="11" borderId="0" xfId="0" applyFont="1" applyFill="1"/>
    <xf numFmtId="0" fontId="15" fillId="11" borderId="3" xfId="0" applyFont="1" applyFill="1" applyBorder="1" applyAlignment="1">
      <alignment horizontal="center" vertical="center"/>
    </xf>
    <xf numFmtId="0" fontId="16" fillId="11" borderId="5" xfId="0" applyFont="1" applyFill="1" applyBorder="1" applyAlignment="1">
      <alignment horizontal="left" vertical="center" wrapText="1"/>
    </xf>
    <xf numFmtId="0" fontId="15" fillId="11" borderId="7" xfId="0" applyFont="1" applyFill="1" applyBorder="1" applyAlignment="1">
      <alignment horizontal="center" vertical="center"/>
    </xf>
    <xf numFmtId="0" fontId="16" fillId="11" borderId="5" xfId="0" applyFont="1" applyFill="1" applyBorder="1" applyAlignment="1">
      <alignment horizontal="left" vertical="center"/>
    </xf>
    <xf numFmtId="0" fontId="15" fillId="11" borderId="5" xfId="0" applyFont="1" applyFill="1" applyBorder="1" applyAlignment="1">
      <alignment horizontal="center" vertical="center"/>
    </xf>
    <xf numFmtId="0" fontId="16" fillId="11" borderId="17" xfId="0" applyFont="1" applyFill="1" applyBorder="1"/>
    <xf numFmtId="170" fontId="16" fillId="11" borderId="18" xfId="0" applyNumberFormat="1" applyFont="1" applyFill="1" applyBorder="1" applyAlignment="1">
      <alignment horizontal="center" vertical="center"/>
    </xf>
    <xf numFmtId="0" fontId="16" fillId="11" borderId="5" xfId="0" applyFont="1" applyFill="1" applyBorder="1" applyAlignment="1">
      <alignment horizontal="center" vertical="center"/>
    </xf>
    <xf numFmtId="0" fontId="16" fillId="11" borderId="7" xfId="0" applyFont="1" applyFill="1" applyBorder="1" applyAlignment="1">
      <alignment horizontal="center" vertical="center"/>
    </xf>
    <xf numFmtId="170" fontId="15" fillId="11" borderId="3" xfId="1" applyNumberFormat="1" applyFont="1" applyFill="1" applyBorder="1" applyAlignment="1">
      <alignment horizontal="center" vertical="center"/>
    </xf>
    <xf numFmtId="0" fontId="16" fillId="11" borderId="0" xfId="0" applyFont="1" applyFill="1" applyBorder="1"/>
    <xf numFmtId="170" fontId="16" fillId="11" borderId="19" xfId="0" applyNumberFormat="1" applyFont="1" applyFill="1" applyBorder="1" applyAlignment="1">
      <alignment horizontal="center" vertical="center"/>
    </xf>
    <xf numFmtId="0" fontId="16" fillId="11" borderId="20" xfId="0" applyFont="1" applyFill="1" applyBorder="1"/>
    <xf numFmtId="171" fontId="16" fillId="11" borderId="21" xfId="0" applyNumberFormat="1" applyFont="1" applyFill="1" applyBorder="1" applyAlignment="1">
      <alignment horizontal="center" vertical="center"/>
    </xf>
    <xf numFmtId="171" fontId="16" fillId="11" borderId="4" xfId="0" applyNumberFormat="1" applyFont="1" applyFill="1" applyBorder="1" applyAlignment="1">
      <alignment horizontal="center" vertical="center"/>
    </xf>
    <xf numFmtId="166" fontId="15" fillId="12" borderId="4" xfId="1" applyNumberFormat="1" applyFont="1" applyFill="1" applyBorder="1" applyAlignment="1">
      <alignment horizontal="center" vertical="center"/>
    </xf>
    <xf numFmtId="0" fontId="20" fillId="0" borderId="0" xfId="0" applyFont="1"/>
    <xf numFmtId="0" fontId="3" fillId="0" borderId="1" xfId="0" applyFont="1" applyBorder="1" applyAlignment="1">
      <alignment horizontal="center"/>
    </xf>
    <xf numFmtId="166" fontId="15" fillId="2" borderId="4" xfId="1" applyNumberFormat="1" applyFont="1" applyFill="1" applyBorder="1" applyAlignment="1">
      <alignment horizontal="center" vertical="center"/>
    </xf>
    <xf numFmtId="166" fontId="15" fillId="2" borderId="3" xfId="1" applyNumberFormat="1" applyFont="1" applyFill="1" applyBorder="1" applyAlignment="1">
      <alignment horizontal="center" vertical="center"/>
    </xf>
    <xf numFmtId="166" fontId="15" fillId="2" borderId="18" xfId="1" applyNumberFormat="1" applyFont="1" applyFill="1" applyBorder="1" applyAlignment="1">
      <alignment horizontal="center" vertical="center"/>
    </xf>
    <xf numFmtId="0" fontId="15" fillId="10" borderId="14" xfId="0" applyFont="1" applyFill="1" applyBorder="1" applyAlignment="1">
      <alignment horizontal="center" vertical="center"/>
    </xf>
    <xf numFmtId="0" fontId="15" fillId="11" borderId="6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10" borderId="6" xfId="0" applyFont="1" applyFill="1" applyBorder="1" applyAlignment="1">
      <alignment horizontal="center" vertical="center"/>
    </xf>
    <xf numFmtId="0" fontId="18" fillId="10" borderId="6" xfId="0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center" vertical="center"/>
    </xf>
    <xf numFmtId="0" fontId="15" fillId="12" borderId="6" xfId="0" applyFont="1" applyFill="1" applyBorder="1" applyAlignment="1">
      <alignment horizontal="center" vertical="center"/>
    </xf>
    <xf numFmtId="0" fontId="16" fillId="0" borderId="1" xfId="0" applyFont="1" applyBorder="1" applyAlignment="1"/>
    <xf numFmtId="171" fontId="15" fillId="0" borderId="1" xfId="0" applyNumberFormat="1" applyFont="1" applyBorder="1"/>
    <xf numFmtId="3" fontId="15" fillId="0" borderId="0" xfId="0" applyNumberFormat="1" applyFont="1"/>
    <xf numFmtId="0" fontId="0" fillId="0" borderId="3" xfId="0" applyFill="1" applyBorder="1"/>
    <xf numFmtId="0" fontId="16" fillId="0" borderId="1" xfId="0" applyFont="1" applyBorder="1"/>
    <xf numFmtId="167" fontId="15" fillId="0" borderId="1" xfId="0" applyNumberFormat="1" applyFont="1" applyBorder="1"/>
    <xf numFmtId="170" fontId="15" fillId="0" borderId="1" xfId="0" applyNumberFormat="1" applyFont="1" applyBorder="1"/>
    <xf numFmtId="0" fontId="21" fillId="2" borderId="1" xfId="0" applyFont="1" applyFill="1" applyBorder="1" applyAlignment="1">
      <alignment vertical="center" wrapText="1"/>
    </xf>
    <xf numFmtId="0" fontId="15" fillId="11" borderId="17" xfId="0" applyFont="1" applyFill="1" applyBorder="1"/>
    <xf numFmtId="170" fontId="15" fillId="11" borderId="19" xfId="0" applyNumberFormat="1" applyFont="1" applyFill="1" applyBorder="1" applyAlignment="1">
      <alignment horizontal="center" vertical="center"/>
    </xf>
    <xf numFmtId="170" fontId="15" fillId="13" borderId="1" xfId="0" applyNumberFormat="1" applyFont="1" applyFill="1" applyBorder="1"/>
    <xf numFmtId="3" fontId="14" fillId="2" borderId="1" xfId="0" applyNumberFormat="1" applyFont="1" applyFill="1" applyBorder="1" applyAlignment="1">
      <alignment vertical="center" wrapText="1"/>
    </xf>
    <xf numFmtId="3" fontId="15" fillId="0" borderId="1" xfId="0" applyNumberFormat="1" applyFont="1" applyBorder="1"/>
    <xf numFmtId="171" fontId="16" fillId="0" borderId="1" xfId="0" applyNumberFormat="1" applyFont="1" applyBorder="1"/>
    <xf numFmtId="166" fontId="15" fillId="0" borderId="1" xfId="0" applyNumberFormat="1" applyFont="1" applyBorder="1"/>
    <xf numFmtId="0" fontId="22" fillId="0" borderId="0" xfId="0" applyFont="1"/>
    <xf numFmtId="0" fontId="0" fillId="0" borderId="0" xfId="0" applyFont="1"/>
    <xf numFmtId="0" fontId="22" fillId="0" borderId="1" xfId="0" applyFont="1" applyBorder="1"/>
    <xf numFmtId="10" fontId="0" fillId="0" borderId="1" xfId="0" applyNumberFormat="1" applyFont="1" applyBorder="1"/>
    <xf numFmtId="0" fontId="23" fillId="0" borderId="0" xfId="0" applyFont="1"/>
    <xf numFmtId="0" fontId="22" fillId="0" borderId="0" xfId="0" applyFont="1" applyFill="1" applyBorder="1"/>
    <xf numFmtId="0" fontId="22" fillId="6" borderId="0" xfId="0" applyFont="1" applyFill="1"/>
    <xf numFmtId="10" fontId="22" fillId="0" borderId="0" xfId="0" applyNumberFormat="1" applyFont="1"/>
    <xf numFmtId="0" fontId="22" fillId="0" borderId="1" xfId="0" applyFont="1" applyFill="1" applyBorder="1"/>
    <xf numFmtId="0" fontId="0" fillId="0" borderId="1" xfId="0" applyFont="1" applyFill="1" applyBorder="1"/>
    <xf numFmtId="164" fontId="0" fillId="0" borderId="1" xfId="0" applyNumberFormat="1" applyFont="1" applyBorder="1"/>
    <xf numFmtId="9" fontId="0" fillId="0" borderId="1" xfId="0" applyNumberFormat="1" applyFont="1" applyBorder="1"/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right"/>
    </xf>
    <xf numFmtId="2" fontId="0" fillId="0" borderId="1" xfId="0" applyNumberFormat="1" applyFont="1" applyBorder="1"/>
    <xf numFmtId="0" fontId="23" fillId="0" borderId="1" xfId="0" applyFont="1" applyFill="1" applyBorder="1"/>
    <xf numFmtId="0" fontId="23" fillId="0" borderId="1" xfId="0" applyFont="1" applyBorder="1"/>
    <xf numFmtId="0" fontId="24" fillId="0" borderId="1" xfId="0" applyFont="1" applyBorder="1"/>
    <xf numFmtId="4" fontId="0" fillId="0" borderId="1" xfId="0" applyNumberFormat="1" applyFont="1" applyBorder="1"/>
    <xf numFmtId="4" fontId="22" fillId="0" borderId="1" xfId="0" applyNumberFormat="1" applyFont="1" applyBorder="1"/>
    <xf numFmtId="0" fontId="22" fillId="6" borderId="1" xfId="0" applyFont="1" applyFill="1" applyBorder="1"/>
    <xf numFmtId="4" fontId="22" fillId="6" borderId="1" xfId="0" applyNumberFormat="1" applyFont="1" applyFill="1" applyBorder="1"/>
    <xf numFmtId="0" fontId="2" fillId="0" borderId="0" xfId="0" applyFont="1"/>
    <xf numFmtId="0" fontId="0" fillId="14" borderId="1" xfId="0" applyFill="1" applyBorder="1"/>
    <xf numFmtId="0" fontId="2" fillId="14" borderId="1" xfId="0" applyFont="1" applyFill="1" applyBorder="1"/>
    <xf numFmtId="0" fontId="2" fillId="4" borderId="1" xfId="0" applyFont="1" applyFill="1" applyBorder="1"/>
    <xf numFmtId="0" fontId="0" fillId="4" borderId="2" xfId="0" applyFont="1" applyFill="1" applyBorder="1"/>
    <xf numFmtId="0" fontId="0" fillId="14" borderId="0" xfId="0" applyFill="1"/>
    <xf numFmtId="0" fontId="1" fillId="14" borderId="1" xfId="0" applyFont="1" applyFill="1" applyBorder="1"/>
    <xf numFmtId="0" fontId="0" fillId="4" borderId="2" xfId="0" applyFill="1" applyBorder="1"/>
    <xf numFmtId="0" fontId="0" fillId="4" borderId="3" xfId="0" applyFill="1" applyBorder="1"/>
    <xf numFmtId="0" fontId="2" fillId="14" borderId="2" xfId="0" applyFont="1" applyFill="1" applyBorder="1" applyAlignment="1">
      <alignment horizontal="center"/>
    </xf>
    <xf numFmtId="0" fontId="2" fillId="14" borderId="3" xfId="0" applyFont="1" applyFill="1" applyBorder="1" applyAlignment="1">
      <alignment horizontal="center"/>
    </xf>
    <xf numFmtId="0" fontId="2" fillId="14" borderId="4" xfId="0" applyFont="1" applyFill="1" applyBorder="1" applyAlignment="1">
      <alignment horizontal="center"/>
    </xf>
    <xf numFmtId="0" fontId="0" fillId="14" borderId="1" xfId="0" applyFont="1" applyFill="1" applyBorder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4" xfId="0" applyFont="1" applyBorder="1" applyAlignment="1"/>
    <xf numFmtId="0" fontId="2" fillId="4" borderId="2" xfId="0" applyFont="1" applyFill="1" applyBorder="1"/>
    <xf numFmtId="0" fontId="2" fillId="4" borderId="1" xfId="0" applyFont="1" applyFill="1" applyBorder="1" applyAlignment="1">
      <alignment horizontal="center"/>
    </xf>
    <xf numFmtId="0" fontId="2" fillId="4" borderId="0" xfId="0" applyFont="1" applyFill="1" applyBorder="1"/>
    <xf numFmtId="0" fontId="2" fillId="14" borderId="2" xfId="0" applyFont="1" applyFill="1" applyBorder="1" applyAlignment="1">
      <alignment horizontal="center" vertical="center"/>
    </xf>
    <xf numFmtId="0" fontId="2" fillId="14" borderId="0" xfId="0" applyFont="1" applyFill="1" applyBorder="1"/>
    <xf numFmtId="165" fontId="16" fillId="0" borderId="1" xfId="0" applyNumberFormat="1" applyFont="1" applyBorder="1"/>
    <xf numFmtId="166" fontId="16" fillId="0" borderId="1" xfId="0" applyNumberFormat="1" applyFont="1" applyBorder="1"/>
    <xf numFmtId="3" fontId="15" fillId="0" borderId="4" xfId="3" applyNumberFormat="1" applyFont="1" applyFill="1" applyBorder="1" applyAlignment="1">
      <alignment horizontal="right" vertical="center"/>
    </xf>
    <xf numFmtId="3" fontId="15" fillId="0" borderId="1" xfId="0" applyNumberFormat="1" applyFont="1" applyFill="1" applyBorder="1"/>
    <xf numFmtId="3" fontId="15" fillId="0" borderId="4" xfId="3" applyNumberFormat="1" applyFont="1" applyFill="1" applyBorder="1" applyAlignment="1">
      <alignment horizontal="center" vertical="center"/>
    </xf>
    <xf numFmtId="0" fontId="25" fillId="0" borderId="0" xfId="0" applyFont="1"/>
    <xf numFmtId="0" fontId="25" fillId="0" borderId="1" xfId="0" applyFont="1" applyBorder="1"/>
    <xf numFmtId="171" fontId="25" fillId="0" borderId="1" xfId="0" applyNumberFormat="1" applyFont="1" applyBorder="1"/>
    <xf numFmtId="166" fontId="25" fillId="0" borderId="1" xfId="0" applyNumberFormat="1" applyFont="1" applyBorder="1"/>
    <xf numFmtId="9" fontId="15" fillId="0" borderId="5" xfId="3" applyFont="1" applyFill="1" applyBorder="1" applyAlignment="1">
      <alignment horizontal="center" vertical="center"/>
    </xf>
    <xf numFmtId="9" fontId="15" fillId="0" borderId="7" xfId="3" applyFont="1" applyFill="1" applyBorder="1" applyAlignment="1">
      <alignment horizontal="center" vertical="center"/>
    </xf>
    <xf numFmtId="9" fontId="15" fillId="0" borderId="6" xfId="3" applyFont="1" applyFill="1" applyBorder="1" applyAlignment="1">
      <alignment horizontal="center" vertical="center"/>
    </xf>
    <xf numFmtId="0" fontId="15" fillId="0" borderId="0" xfId="0" applyFont="1" applyFill="1"/>
    <xf numFmtId="0" fontId="3" fillId="0" borderId="1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3" fontId="14" fillId="2" borderId="2" xfId="0" applyNumberFormat="1" applyFont="1" applyFill="1" applyBorder="1" applyAlignment="1">
      <alignment vertical="center" wrapText="1"/>
    </xf>
    <xf numFmtId="3" fontId="15" fillId="10" borderId="3" xfId="3" applyNumberFormat="1" applyFont="1" applyFill="1" applyBorder="1" applyAlignment="1">
      <alignment vertical="center"/>
    </xf>
    <xf numFmtId="3" fontId="15" fillId="10" borderId="9" xfId="3" applyNumberFormat="1" applyFont="1" applyFill="1" applyBorder="1" applyAlignment="1">
      <alignment horizontal="center" vertical="center"/>
    </xf>
    <xf numFmtId="3" fontId="15" fillId="10" borderId="11" xfId="3" applyNumberFormat="1" applyFont="1" applyFill="1" applyBorder="1" applyAlignment="1">
      <alignment horizontal="center" vertical="center"/>
    </xf>
    <xf numFmtId="3" fontId="15" fillId="10" borderId="3" xfId="3" applyNumberFormat="1" applyFont="1" applyFill="1" applyBorder="1" applyAlignment="1">
      <alignment horizontal="right" vertical="center"/>
    </xf>
    <xf numFmtId="3" fontId="15" fillId="10" borderId="3" xfId="3" applyNumberFormat="1" applyFont="1" applyFill="1" applyBorder="1" applyAlignment="1">
      <alignment horizontal="left" vertical="center" indent="6"/>
    </xf>
    <xf numFmtId="3" fontId="15" fillId="10" borderId="3" xfId="3" applyNumberFormat="1" applyFont="1" applyFill="1" applyBorder="1" applyAlignment="1">
      <alignment horizontal="left" vertical="center" indent="5"/>
    </xf>
    <xf numFmtId="3" fontId="15" fillId="0" borderId="2" xfId="0" applyNumberFormat="1" applyFont="1" applyBorder="1"/>
    <xf numFmtId="3" fontId="16" fillId="0" borderId="1" xfId="0" applyNumberFormat="1" applyFont="1" applyBorder="1"/>
    <xf numFmtId="0" fontId="16" fillId="2" borderId="7" xfId="0" applyFont="1" applyFill="1" applyBorder="1" applyAlignment="1">
      <alignment horizontal="center"/>
    </xf>
    <xf numFmtId="0" fontId="16" fillId="12" borderId="14" xfId="0" applyFont="1" applyFill="1" applyBorder="1"/>
    <xf numFmtId="0" fontId="16" fillId="11" borderId="14" xfId="0" applyFont="1" applyFill="1" applyBorder="1"/>
    <xf numFmtId="3" fontId="15" fillId="0" borderId="7" xfId="0" applyNumberFormat="1" applyFont="1" applyBorder="1"/>
    <xf numFmtId="0" fontId="16" fillId="0" borderId="7" xfId="0" applyFont="1" applyBorder="1"/>
    <xf numFmtId="0" fontId="15" fillId="2" borderId="1" xfId="0" applyFont="1" applyFill="1" applyBorder="1" applyAlignment="1"/>
    <xf numFmtId="3" fontId="15" fillId="10" borderId="0" xfId="0" applyNumberFormat="1" applyFont="1" applyFill="1" applyBorder="1"/>
    <xf numFmtId="171" fontId="15" fillId="11" borderId="21" xfId="0" applyNumberFormat="1" applyFont="1" applyFill="1" applyBorder="1" applyAlignment="1">
      <alignment horizontal="center" vertical="center"/>
    </xf>
    <xf numFmtId="0" fontId="15" fillId="2" borderId="7" xfId="0" applyFont="1" applyFill="1" applyBorder="1"/>
    <xf numFmtId="0" fontId="16" fillId="0" borderId="14" xfId="0" applyFont="1" applyFill="1" applyBorder="1"/>
    <xf numFmtId="0" fontId="15" fillId="0" borderId="7" xfId="0" applyFont="1" applyBorder="1"/>
    <xf numFmtId="0" fontId="12" fillId="0" borderId="0" xfId="0" applyFont="1" applyFill="1" applyBorder="1"/>
    <xf numFmtId="3" fontId="0" fillId="0" borderId="0" xfId="0" applyNumberFormat="1" applyFill="1" applyBorder="1"/>
    <xf numFmtId="168" fontId="0" fillId="0" borderId="0" xfId="0" applyNumberFormat="1" applyFill="1" applyBorder="1"/>
    <xf numFmtId="1" fontId="0" fillId="0" borderId="0" xfId="0" applyNumberFormat="1" applyFill="1" applyBorder="1"/>
    <xf numFmtId="167" fontId="0" fillId="0" borderId="0" xfId="0" applyNumberFormat="1" applyFill="1" applyBorder="1"/>
    <xf numFmtId="164" fontId="0" fillId="0" borderId="0" xfId="0" applyNumberFormat="1" applyFont="1"/>
    <xf numFmtId="0" fontId="26" fillId="0" borderId="0" xfId="0" applyFont="1"/>
    <xf numFmtId="0" fontId="26" fillId="0" borderId="0" xfId="0" applyFont="1" applyFill="1"/>
    <xf numFmtId="0" fontId="27" fillId="0" borderId="3" xfId="0" applyFont="1" applyFill="1" applyBorder="1"/>
    <xf numFmtId="0" fontId="27" fillId="0" borderId="0" xfId="0" applyFont="1"/>
    <xf numFmtId="0" fontId="27" fillId="0" borderId="0" xfId="0" applyFont="1" applyFill="1" applyBorder="1"/>
    <xf numFmtId="0" fontId="3" fillId="0" borderId="0" xfId="0" applyFont="1"/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14" borderId="2" xfId="0" applyFont="1" applyFill="1" applyBorder="1" applyAlignment="1">
      <alignment horizontal="center"/>
    </xf>
    <xf numFmtId="0" fontId="2" fillId="14" borderId="3" xfId="0" applyFont="1" applyFill="1" applyBorder="1" applyAlignment="1">
      <alignment horizontal="center"/>
    </xf>
    <xf numFmtId="0" fontId="2" fillId="14" borderId="4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14" borderId="2" xfId="0" applyFont="1" applyFill="1" applyBorder="1" applyAlignment="1">
      <alignment horizontal="center" vertical="center"/>
    </xf>
    <xf numFmtId="0" fontId="2" fillId="14" borderId="3" xfId="0" applyFont="1" applyFill="1" applyBorder="1" applyAlignment="1">
      <alignment horizontal="center" vertical="center"/>
    </xf>
    <xf numFmtId="0" fontId="2" fillId="14" borderId="4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/>
    </xf>
    <xf numFmtId="0" fontId="9" fillId="9" borderId="7" xfId="0" applyFont="1" applyFill="1" applyBorder="1" applyAlignment="1">
      <alignment horizontal="center"/>
    </xf>
    <xf numFmtId="0" fontId="0" fillId="5" borderId="11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10" fillId="9" borderId="5" xfId="0" applyFont="1" applyFill="1" applyBorder="1" applyAlignment="1">
      <alignment horizontal="center"/>
    </xf>
    <xf numFmtId="0" fontId="10" fillId="9" borderId="6" xfId="0" applyFont="1" applyFill="1" applyBorder="1" applyAlignment="1">
      <alignment horizontal="center"/>
    </xf>
    <xf numFmtId="0" fontId="10" fillId="9" borderId="7" xfId="0" applyFont="1" applyFill="1" applyBorder="1" applyAlignment="1">
      <alignment horizontal="center"/>
    </xf>
    <xf numFmtId="0" fontId="9" fillId="9" borderId="5" xfId="0" applyFont="1" applyFill="1" applyBorder="1" applyAlignment="1">
      <alignment horizontal="center"/>
    </xf>
    <xf numFmtId="0" fontId="9" fillId="9" borderId="6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8" fillId="9" borderId="5" xfId="0" applyFont="1" applyFill="1" applyBorder="1" applyAlignment="1">
      <alignment horizontal="center"/>
    </xf>
    <xf numFmtId="0" fontId="8" fillId="9" borderId="6" xfId="0" applyFont="1" applyFill="1" applyBorder="1" applyAlignment="1">
      <alignment horizontal="center"/>
    </xf>
    <xf numFmtId="0" fontId="8" fillId="9" borderId="7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/>
    </xf>
    <xf numFmtId="0" fontId="10" fillId="7" borderId="7" xfId="0" applyFont="1" applyFill="1" applyBorder="1" applyAlignment="1">
      <alignment horizontal="center"/>
    </xf>
    <xf numFmtId="0" fontId="10" fillId="9" borderId="1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8" borderId="5" xfId="0" applyFont="1" applyFill="1" applyBorder="1" applyAlignment="1">
      <alignment horizontal="center"/>
    </xf>
    <xf numFmtId="0" fontId="3" fillId="8" borderId="6" xfId="0" applyFont="1" applyFill="1" applyBorder="1" applyAlignment="1">
      <alignment horizontal="center"/>
    </xf>
    <xf numFmtId="0" fontId="3" fillId="8" borderId="7" xfId="0" applyFont="1" applyFill="1" applyBorder="1" applyAlignment="1">
      <alignment horizontal="center"/>
    </xf>
    <xf numFmtId="0" fontId="3" fillId="8" borderId="9" xfId="0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9" fillId="7" borderId="5" xfId="0" applyFont="1" applyFill="1" applyBorder="1" applyAlignment="1">
      <alignment horizontal="center"/>
    </xf>
    <xf numFmtId="0" fontId="9" fillId="7" borderId="6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10" fillId="7" borderId="5" xfId="0" applyFont="1" applyFill="1" applyBorder="1" applyAlignment="1">
      <alignment horizontal="center"/>
    </xf>
    <xf numFmtId="0" fontId="10" fillId="7" borderId="6" xfId="0" applyFont="1" applyFill="1" applyBorder="1" applyAlignment="1">
      <alignment horizontal="center"/>
    </xf>
    <xf numFmtId="0" fontId="8" fillId="7" borderId="5" xfId="0" applyFont="1" applyFill="1" applyBorder="1" applyAlignment="1">
      <alignment horizontal="center"/>
    </xf>
    <xf numFmtId="0" fontId="8" fillId="7" borderId="6" xfId="0" applyFont="1" applyFill="1" applyBorder="1" applyAlignment="1">
      <alignment horizontal="center"/>
    </xf>
    <xf numFmtId="0" fontId="8" fillId="7" borderId="7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6" fillId="2" borderId="1" xfId="0" applyFont="1" applyFill="1" applyBorder="1" applyAlignment="1">
      <alignment horizontal="center" vertical="center" textRotation="90" wrapText="1"/>
    </xf>
    <xf numFmtId="0" fontId="16" fillId="0" borderId="5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</cellXfs>
  <cellStyles count="4">
    <cellStyle name="Dezimal" xfId="1" builtinId="3"/>
    <cellStyle name="Normal 9" xfId="2"/>
    <cellStyle name="Prozent" xfId="3" builtinId="5"/>
    <cellStyle name="Standard" xfId="0" builtinId="0"/>
  </cellStyles>
  <dxfs count="28">
    <dxf>
      <font>
        <b/>
        <i val="0"/>
        <color theme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udapest\INV_130628_CBA_GA%20case%20study_%20UG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ssumptions"/>
      <sheetName val="Constant input data"/>
      <sheetName val="Project specific input data"/>
      <sheetName val="ec flow saved cost approach"/>
      <sheetName val="Country A"/>
      <sheetName val="Country B"/>
    </sheetNames>
    <sheetDataSet>
      <sheetData sheetId="0" refreshError="1"/>
      <sheetData sheetId="1" refreshError="1"/>
      <sheetData sheetId="2" refreshError="1">
        <row r="6">
          <cell r="C6">
            <v>80</v>
          </cell>
        </row>
        <row r="8">
          <cell r="Q8">
            <v>0</v>
          </cell>
        </row>
      </sheetData>
      <sheetData sheetId="3" refreshError="1">
        <row r="16">
          <cell r="B16">
            <v>5.5E-2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2"/>
  <sheetViews>
    <sheetView tabSelected="1" workbookViewId="0">
      <selection activeCell="C27" sqref="C27"/>
    </sheetView>
  </sheetViews>
  <sheetFormatPr baseColWidth="10" defaultColWidth="9.140625" defaultRowHeight="15"/>
  <sheetData>
    <row r="2" spans="1:4">
      <c r="A2" s="170" t="s">
        <v>134</v>
      </c>
    </row>
    <row r="4" spans="1:4">
      <c r="A4" t="s">
        <v>135</v>
      </c>
      <c r="D4" t="s">
        <v>136</v>
      </c>
    </row>
    <row r="5" spans="1:4">
      <c r="D5" t="s">
        <v>137</v>
      </c>
    </row>
    <row r="6" spans="1:4">
      <c r="A6" t="s">
        <v>186</v>
      </c>
    </row>
    <row r="7" spans="1:4">
      <c r="A7" t="s">
        <v>147</v>
      </c>
    </row>
    <row r="8" spans="1:4">
      <c r="A8" t="s">
        <v>187</v>
      </c>
    </row>
    <row r="9" spans="1:4">
      <c r="A9" t="s">
        <v>148</v>
      </c>
    </row>
    <row r="10" spans="1:4">
      <c r="A10" t="s">
        <v>149</v>
      </c>
    </row>
    <row r="12" spans="1:4">
      <c r="A12" t="s">
        <v>164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30"/>
  <sheetViews>
    <sheetView topLeftCell="A7" workbookViewId="0">
      <selection activeCell="J19" sqref="J19"/>
    </sheetView>
  </sheetViews>
  <sheetFormatPr baseColWidth="10" defaultColWidth="9.140625" defaultRowHeight="15"/>
  <cols>
    <col min="1" max="1" width="11.42578125" customWidth="1"/>
    <col min="2" max="2" width="22.85546875" customWidth="1"/>
    <col min="3" max="3" width="11.7109375" bestFit="1" customWidth="1"/>
    <col min="4" max="4" width="17.7109375" bestFit="1" customWidth="1"/>
  </cols>
  <sheetData>
    <row r="1" spans="1:14">
      <c r="E1" s="170" t="s">
        <v>0</v>
      </c>
    </row>
    <row r="2" spans="1:14">
      <c r="E2" s="1"/>
    </row>
    <row r="4" spans="1:14">
      <c r="L4" t="s">
        <v>178</v>
      </c>
    </row>
    <row r="5" spans="1:14">
      <c r="A5" s="3" t="s">
        <v>2</v>
      </c>
      <c r="B5" s="172" t="s">
        <v>179</v>
      </c>
      <c r="C5" s="173" t="s">
        <v>24</v>
      </c>
      <c r="D5" s="3"/>
      <c r="E5" s="3">
        <v>2013</v>
      </c>
      <c r="F5" s="3">
        <v>2014</v>
      </c>
      <c r="G5" s="3">
        <v>2015</v>
      </c>
      <c r="H5" s="3">
        <v>2016</v>
      </c>
      <c r="I5" s="3">
        <v>2017</v>
      </c>
      <c r="J5" s="3">
        <v>2018</v>
      </c>
      <c r="K5" s="3">
        <v>2019</v>
      </c>
      <c r="L5" s="3">
        <v>2020</v>
      </c>
    </row>
    <row r="6" spans="1:14">
      <c r="A6" s="204" t="s">
        <v>165</v>
      </c>
      <c r="B6" s="23"/>
      <c r="C6" s="6"/>
      <c r="D6" s="3"/>
      <c r="E6" s="3"/>
      <c r="F6" s="3"/>
      <c r="G6" s="3"/>
      <c r="H6" s="3"/>
      <c r="I6" s="3"/>
      <c r="J6" s="3"/>
      <c r="K6" s="3"/>
      <c r="L6" s="3"/>
    </row>
    <row r="7" spans="1:14">
      <c r="A7" s="205"/>
      <c r="B7" s="189" t="s">
        <v>175</v>
      </c>
      <c r="C7" s="179" t="s">
        <v>153</v>
      </c>
      <c r="D7" s="171" t="s">
        <v>150</v>
      </c>
      <c r="E7" s="171">
        <v>210</v>
      </c>
      <c r="F7" s="171">
        <v>210</v>
      </c>
      <c r="G7" s="171">
        <v>210</v>
      </c>
      <c r="H7" s="171">
        <v>210</v>
      </c>
      <c r="I7" s="171">
        <v>210</v>
      </c>
      <c r="J7" s="171">
        <v>210</v>
      </c>
      <c r="K7" s="171">
        <v>210</v>
      </c>
      <c r="L7" s="171">
        <v>210</v>
      </c>
    </row>
    <row r="8" spans="1:14">
      <c r="A8" s="205"/>
      <c r="B8" s="249"/>
      <c r="C8" s="180" t="s">
        <v>153</v>
      </c>
      <c r="D8" s="171" t="s">
        <v>151</v>
      </c>
      <c r="E8" s="171">
        <v>502</v>
      </c>
      <c r="F8" s="171">
        <v>595</v>
      </c>
      <c r="G8" s="171">
        <v>595</v>
      </c>
      <c r="H8" s="171">
        <v>595</v>
      </c>
      <c r="I8" s="171">
        <v>595</v>
      </c>
      <c r="J8" s="171">
        <v>595</v>
      </c>
      <c r="K8" s="171">
        <v>595</v>
      </c>
      <c r="L8" s="171">
        <v>595</v>
      </c>
    </row>
    <row r="9" spans="1:14">
      <c r="A9" s="205"/>
      <c r="B9" s="249"/>
      <c r="C9" s="181" t="s">
        <v>181</v>
      </c>
      <c r="D9" s="171" t="s">
        <v>152</v>
      </c>
      <c r="E9" s="171">
        <v>100</v>
      </c>
      <c r="F9" s="171">
        <v>23</v>
      </c>
      <c r="G9" s="171">
        <v>23</v>
      </c>
      <c r="H9" s="171">
        <v>23</v>
      </c>
      <c r="I9" s="171">
        <v>23</v>
      </c>
      <c r="J9" s="171">
        <v>23</v>
      </c>
      <c r="K9" s="171">
        <v>23</v>
      </c>
      <c r="L9" s="171">
        <v>23</v>
      </c>
    </row>
    <row r="10" spans="1:14" ht="15" customHeight="1">
      <c r="A10" s="205"/>
      <c r="B10" s="249"/>
      <c r="C10" s="171" t="s">
        <v>176</v>
      </c>
      <c r="D10" s="171" t="s">
        <v>166</v>
      </c>
      <c r="E10" s="171">
        <v>70</v>
      </c>
      <c r="F10" s="171">
        <v>54</v>
      </c>
      <c r="G10" s="171">
        <v>54</v>
      </c>
      <c r="H10" s="171">
        <v>54</v>
      </c>
      <c r="I10" s="171">
        <v>54</v>
      </c>
      <c r="J10" s="171">
        <v>54</v>
      </c>
      <c r="K10" s="171">
        <v>54</v>
      </c>
      <c r="L10" s="171">
        <v>54</v>
      </c>
    </row>
    <row r="11" spans="1:14">
      <c r="A11" s="205"/>
      <c r="B11" s="249"/>
      <c r="C11" s="190" t="s">
        <v>177</v>
      </c>
      <c r="D11" s="171" t="s">
        <v>167</v>
      </c>
      <c r="E11" s="171">
        <v>38</v>
      </c>
      <c r="F11" s="171">
        <f>E11</f>
        <v>38</v>
      </c>
      <c r="G11" s="171">
        <f t="shared" ref="G11:L11" si="0">F11</f>
        <v>38</v>
      </c>
      <c r="H11" s="171">
        <f t="shared" si="0"/>
        <v>38</v>
      </c>
      <c r="I11" s="171">
        <f t="shared" si="0"/>
        <v>38</v>
      </c>
      <c r="J11" s="171">
        <f t="shared" si="0"/>
        <v>38</v>
      </c>
      <c r="K11" s="171">
        <f t="shared" si="0"/>
        <v>38</v>
      </c>
      <c r="L11" s="171">
        <f t="shared" si="0"/>
        <v>38</v>
      </c>
      <c r="N11" s="61"/>
    </row>
    <row r="12" spans="1:14">
      <c r="A12" s="205"/>
      <c r="B12" s="250"/>
      <c r="C12" s="175" t="s">
        <v>180</v>
      </c>
      <c r="D12" s="176"/>
      <c r="E12" s="172">
        <f t="shared" ref="E12:L12" si="1">SUM(E7:E11)</f>
        <v>920</v>
      </c>
      <c r="F12" s="172">
        <f t="shared" si="1"/>
        <v>920</v>
      </c>
      <c r="G12" s="172">
        <f t="shared" si="1"/>
        <v>920</v>
      </c>
      <c r="H12" s="172">
        <f t="shared" si="1"/>
        <v>920</v>
      </c>
      <c r="I12" s="172">
        <f t="shared" si="1"/>
        <v>920</v>
      </c>
      <c r="J12" s="172">
        <f t="shared" si="1"/>
        <v>920</v>
      </c>
      <c r="K12" s="172">
        <f t="shared" si="1"/>
        <v>920</v>
      </c>
      <c r="L12" s="172">
        <f t="shared" si="1"/>
        <v>920</v>
      </c>
    </row>
    <row r="13" spans="1:14">
      <c r="A13" s="205"/>
      <c r="B13" s="239" t="s">
        <v>170</v>
      </c>
      <c r="C13" s="173" t="s">
        <v>157</v>
      </c>
      <c r="D13" s="22"/>
      <c r="E13" s="12"/>
      <c r="F13" s="12"/>
      <c r="G13" s="12"/>
      <c r="H13" s="22"/>
      <c r="I13" s="22"/>
      <c r="J13" s="22"/>
      <c r="K13" s="22"/>
      <c r="L13" s="22"/>
    </row>
    <row r="14" spans="1:14">
      <c r="A14" s="205"/>
      <c r="B14" s="240"/>
      <c r="C14" s="12" t="s">
        <v>158</v>
      </c>
      <c r="D14" s="12"/>
      <c r="E14" s="12">
        <v>23</v>
      </c>
      <c r="F14" s="12">
        <v>23</v>
      </c>
      <c r="G14" s="12">
        <v>23</v>
      </c>
      <c r="H14" s="12">
        <v>23</v>
      </c>
      <c r="I14" s="12">
        <v>23</v>
      </c>
      <c r="J14" s="12">
        <v>23</v>
      </c>
      <c r="K14" s="12">
        <v>23</v>
      </c>
      <c r="L14" s="12">
        <v>23</v>
      </c>
    </row>
    <row r="15" spans="1:14">
      <c r="A15" s="205"/>
      <c r="B15" s="240"/>
      <c r="C15" s="12" t="s">
        <v>159</v>
      </c>
      <c r="D15" s="12"/>
      <c r="E15" s="12">
        <v>32</v>
      </c>
      <c r="F15" s="12">
        <v>32</v>
      </c>
      <c r="G15" s="12">
        <v>32</v>
      </c>
      <c r="H15" s="12">
        <v>32</v>
      </c>
      <c r="I15" s="12">
        <v>32</v>
      </c>
      <c r="J15" s="12">
        <v>32</v>
      </c>
      <c r="K15" s="12">
        <v>32</v>
      </c>
      <c r="L15" s="12">
        <v>32</v>
      </c>
    </row>
    <row r="16" spans="1:14">
      <c r="A16" s="205"/>
      <c r="B16" s="240"/>
      <c r="C16" s="12" t="s">
        <v>161</v>
      </c>
      <c r="D16" s="12"/>
      <c r="E16" s="12">
        <v>108</v>
      </c>
      <c r="F16" s="12">
        <v>108</v>
      </c>
      <c r="G16" s="12">
        <v>108</v>
      </c>
      <c r="H16" s="12">
        <v>108</v>
      </c>
      <c r="I16" s="12">
        <v>108</v>
      </c>
      <c r="J16" s="12">
        <v>108</v>
      </c>
      <c r="K16" s="12">
        <v>108</v>
      </c>
      <c r="L16" s="12">
        <v>108</v>
      </c>
    </row>
    <row r="17" spans="1:14">
      <c r="A17" s="205"/>
      <c r="B17" s="240"/>
      <c r="C17" s="177" t="s">
        <v>160</v>
      </c>
      <c r="D17" s="177"/>
      <c r="E17" s="177">
        <f>463-16</f>
        <v>447</v>
      </c>
      <c r="F17" s="177">
        <f t="shared" ref="F17:L17" si="2">463-16</f>
        <v>447</v>
      </c>
      <c r="G17" s="177">
        <f t="shared" si="2"/>
        <v>447</v>
      </c>
      <c r="H17" s="177">
        <f t="shared" si="2"/>
        <v>447</v>
      </c>
      <c r="I17" s="177">
        <f t="shared" si="2"/>
        <v>447</v>
      </c>
      <c r="J17" s="177">
        <f t="shared" si="2"/>
        <v>447</v>
      </c>
      <c r="K17" s="177">
        <f t="shared" si="2"/>
        <v>447</v>
      </c>
      <c r="L17" s="177">
        <f t="shared" si="2"/>
        <v>447</v>
      </c>
      <c r="N17" s="61"/>
    </row>
    <row r="18" spans="1:14">
      <c r="A18" s="205"/>
      <c r="B18" s="240"/>
      <c r="C18" s="178" t="s">
        <v>154</v>
      </c>
      <c r="D18" s="174"/>
      <c r="E18" s="177">
        <v>70</v>
      </c>
      <c r="F18" s="177">
        <f>E18</f>
        <v>70</v>
      </c>
      <c r="G18" s="177">
        <f t="shared" ref="G18:L18" si="3">F18</f>
        <v>70</v>
      </c>
      <c r="H18" s="177">
        <f t="shared" si="3"/>
        <v>70</v>
      </c>
      <c r="I18" s="177">
        <f t="shared" si="3"/>
        <v>70</v>
      </c>
      <c r="J18" s="177">
        <f t="shared" si="3"/>
        <v>70</v>
      </c>
      <c r="K18" s="177">
        <f t="shared" si="3"/>
        <v>70</v>
      </c>
      <c r="L18" s="177">
        <f t="shared" si="3"/>
        <v>70</v>
      </c>
    </row>
    <row r="19" spans="1:14">
      <c r="A19" s="206"/>
      <c r="B19" s="241"/>
      <c r="C19" s="188" t="s">
        <v>172</v>
      </c>
      <c r="D19" s="174"/>
      <c r="E19" s="186">
        <f>SUM(E14:E18)</f>
        <v>680</v>
      </c>
      <c r="F19" s="186">
        <f t="shared" ref="F19:L19" si="4">SUM(F14:F18)</f>
        <v>680</v>
      </c>
      <c r="G19" s="186">
        <f t="shared" si="4"/>
        <v>680</v>
      </c>
      <c r="H19" s="186">
        <f t="shared" si="4"/>
        <v>680</v>
      </c>
      <c r="I19" s="186">
        <f t="shared" si="4"/>
        <v>680</v>
      </c>
      <c r="J19" s="186">
        <f t="shared" si="4"/>
        <v>680</v>
      </c>
      <c r="K19" s="186">
        <f t="shared" si="4"/>
        <v>680</v>
      </c>
      <c r="L19" s="186">
        <f t="shared" si="4"/>
        <v>680</v>
      </c>
    </row>
    <row r="20" spans="1:14">
      <c r="A20" s="245" t="s">
        <v>71</v>
      </c>
      <c r="B20" s="242" t="s">
        <v>169</v>
      </c>
      <c r="C20" s="171" t="s">
        <v>171</v>
      </c>
      <c r="D20" s="171"/>
      <c r="E20" s="171">
        <v>120</v>
      </c>
      <c r="F20" s="171">
        <f>E20</f>
        <v>120</v>
      </c>
      <c r="G20" s="171">
        <f t="shared" ref="G20:L20" si="5">F20</f>
        <v>120</v>
      </c>
      <c r="H20" s="171">
        <f t="shared" si="5"/>
        <v>120</v>
      </c>
      <c r="I20" s="171">
        <f t="shared" si="5"/>
        <v>120</v>
      </c>
      <c r="J20" s="171">
        <f t="shared" si="5"/>
        <v>120</v>
      </c>
      <c r="K20" s="171">
        <f t="shared" si="5"/>
        <v>120</v>
      </c>
      <c r="L20" s="171">
        <f t="shared" si="5"/>
        <v>120</v>
      </c>
    </row>
    <row r="21" spans="1:14">
      <c r="A21" s="246"/>
      <c r="B21" s="243"/>
      <c r="C21" s="171" t="s">
        <v>154</v>
      </c>
      <c r="D21" s="171"/>
      <c r="E21" s="171">
        <v>70</v>
      </c>
      <c r="F21" s="171">
        <v>70</v>
      </c>
      <c r="G21" s="171">
        <v>70</v>
      </c>
      <c r="H21" s="171">
        <v>70</v>
      </c>
      <c r="I21" s="171">
        <v>70</v>
      </c>
      <c r="J21" s="171">
        <v>70</v>
      </c>
      <c r="K21" s="171">
        <v>70</v>
      </c>
      <c r="L21" s="171">
        <v>70</v>
      </c>
    </row>
    <row r="22" spans="1:14">
      <c r="A22" s="246"/>
      <c r="B22" s="244"/>
      <c r="C22" s="172" t="s">
        <v>172</v>
      </c>
      <c r="D22" s="171"/>
      <c r="E22" s="171">
        <f>SUM(E20:E21)</f>
        <v>190</v>
      </c>
      <c r="F22" s="171">
        <f t="shared" ref="F22:L22" si="6">SUM(F20:F21)</f>
        <v>190</v>
      </c>
      <c r="G22" s="171">
        <f t="shared" si="6"/>
        <v>190</v>
      </c>
      <c r="H22" s="171">
        <f t="shared" si="6"/>
        <v>190</v>
      </c>
      <c r="I22" s="171">
        <f t="shared" si="6"/>
        <v>190</v>
      </c>
      <c r="J22" s="171">
        <f t="shared" si="6"/>
        <v>190</v>
      </c>
      <c r="K22" s="171">
        <f t="shared" si="6"/>
        <v>190</v>
      </c>
      <c r="L22" s="171">
        <f t="shared" si="6"/>
        <v>190</v>
      </c>
    </row>
    <row r="23" spans="1:14" ht="15" hidden="1" customHeight="1">
      <c r="A23" s="246"/>
      <c r="B23" s="8"/>
      <c r="C23" s="8" t="s">
        <v>163</v>
      </c>
      <c r="D23" s="8"/>
      <c r="E23" s="8">
        <v>16</v>
      </c>
      <c r="F23" s="8">
        <f>E23</f>
        <v>16</v>
      </c>
      <c r="G23" s="8">
        <f t="shared" ref="G23:L23" si="7">F23</f>
        <v>16</v>
      </c>
      <c r="H23" s="8">
        <f t="shared" si="7"/>
        <v>16</v>
      </c>
      <c r="I23" s="8">
        <f t="shared" si="7"/>
        <v>16</v>
      </c>
      <c r="J23" s="8">
        <f t="shared" si="7"/>
        <v>16</v>
      </c>
      <c r="K23" s="8">
        <f t="shared" si="7"/>
        <v>16</v>
      </c>
      <c r="L23" s="8">
        <f t="shared" si="7"/>
        <v>16</v>
      </c>
    </row>
    <row r="24" spans="1:14" s="23" customFormat="1">
      <c r="A24" s="247"/>
      <c r="B24" s="187" t="s">
        <v>168</v>
      </c>
      <c r="C24" s="173" t="s">
        <v>156</v>
      </c>
      <c r="D24" s="12"/>
      <c r="E24" s="12">
        <v>70</v>
      </c>
      <c r="F24" s="12">
        <v>70</v>
      </c>
      <c r="G24" s="12">
        <v>70</v>
      </c>
      <c r="H24" s="12">
        <v>70</v>
      </c>
      <c r="I24" s="12">
        <v>70</v>
      </c>
      <c r="J24" s="12">
        <v>70</v>
      </c>
      <c r="K24" s="12">
        <v>70</v>
      </c>
      <c r="L24" s="12">
        <v>70</v>
      </c>
    </row>
    <row r="25" spans="1:14">
      <c r="A25" s="183" t="s">
        <v>72</v>
      </c>
      <c r="B25" s="248" t="s">
        <v>173</v>
      </c>
      <c r="C25" s="175" t="s">
        <v>161</v>
      </c>
      <c r="D25" s="182"/>
      <c r="E25" s="171">
        <v>100</v>
      </c>
      <c r="F25" s="171">
        <v>100</v>
      </c>
      <c r="G25" s="171">
        <v>100</v>
      </c>
      <c r="H25" s="171">
        <v>100</v>
      </c>
      <c r="I25" s="171">
        <v>100</v>
      </c>
      <c r="J25" s="171">
        <v>100</v>
      </c>
      <c r="K25" s="171">
        <v>100</v>
      </c>
      <c r="L25" s="171">
        <v>100</v>
      </c>
    </row>
    <row r="26" spans="1:14">
      <c r="A26" s="184"/>
      <c r="B26" s="249"/>
      <c r="C26" s="171" t="s">
        <v>162</v>
      </c>
      <c r="D26" s="171"/>
      <c r="E26" s="171">
        <v>90</v>
      </c>
      <c r="F26" s="171">
        <v>90</v>
      </c>
      <c r="G26" s="171">
        <v>90</v>
      </c>
      <c r="H26" s="171">
        <v>90</v>
      </c>
      <c r="I26" s="171">
        <v>90</v>
      </c>
      <c r="J26" s="171">
        <v>90</v>
      </c>
      <c r="K26" s="171">
        <v>90</v>
      </c>
      <c r="L26" s="171">
        <v>90</v>
      </c>
    </row>
    <row r="27" spans="1:14">
      <c r="A27" s="184"/>
      <c r="B27" s="250"/>
      <c r="C27" s="172" t="s">
        <v>172</v>
      </c>
      <c r="D27" s="171"/>
      <c r="E27" s="171">
        <f>SUM(E25:E26)</f>
        <v>190</v>
      </c>
      <c r="F27" s="171">
        <f t="shared" ref="F27:L27" si="8">SUM(F25:F26)</f>
        <v>190</v>
      </c>
      <c r="G27" s="171">
        <f t="shared" si="8"/>
        <v>190</v>
      </c>
      <c r="H27" s="171">
        <f t="shared" si="8"/>
        <v>190</v>
      </c>
      <c r="I27" s="171">
        <f t="shared" si="8"/>
        <v>190</v>
      </c>
      <c r="J27" s="171">
        <f t="shared" si="8"/>
        <v>190</v>
      </c>
      <c r="K27" s="171">
        <f t="shared" si="8"/>
        <v>190</v>
      </c>
      <c r="L27" s="171">
        <f t="shared" si="8"/>
        <v>190</v>
      </c>
    </row>
    <row r="28" spans="1:14">
      <c r="A28" s="185"/>
      <c r="B28" s="12" t="s">
        <v>174</v>
      </c>
      <c r="C28" s="173" t="s">
        <v>155</v>
      </c>
      <c r="D28" s="12"/>
      <c r="E28" s="12">
        <v>100</v>
      </c>
      <c r="F28" s="12">
        <v>100</v>
      </c>
      <c r="G28" s="12">
        <v>100</v>
      </c>
      <c r="H28" s="12">
        <v>100</v>
      </c>
      <c r="I28" s="12">
        <v>100</v>
      </c>
      <c r="J28" s="12">
        <v>100</v>
      </c>
      <c r="K28" s="12">
        <v>100</v>
      </c>
      <c r="L28" s="12">
        <v>100</v>
      </c>
    </row>
    <row r="29" spans="1:14">
      <c r="D29" s="23"/>
    </row>
    <row r="30" spans="1:14">
      <c r="A30" s="233" t="s">
        <v>188</v>
      </c>
      <c r="B30" s="233" t="s">
        <v>189</v>
      </c>
      <c r="C30" s="233"/>
      <c r="D30" s="234"/>
      <c r="E30" s="233"/>
      <c r="F30" s="233"/>
    </row>
  </sheetData>
  <mergeCells count="5">
    <mergeCell ref="B13:B19"/>
    <mergeCell ref="B20:B22"/>
    <mergeCell ref="A20:A24"/>
    <mergeCell ref="B25:B27"/>
    <mergeCell ref="B8:B1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C105"/>
  <sheetViews>
    <sheetView topLeftCell="A86" workbookViewId="0">
      <selection activeCell="D61" sqref="D61"/>
    </sheetView>
  </sheetViews>
  <sheetFormatPr baseColWidth="10" defaultColWidth="9.140625" defaultRowHeight="15"/>
  <cols>
    <col min="1" max="1" width="10.85546875" customWidth="1"/>
    <col min="2" max="2" width="29" customWidth="1"/>
    <col min="3" max="3" width="6.7109375" customWidth="1"/>
  </cols>
  <sheetData>
    <row r="1" spans="1:28">
      <c r="A1" s="2"/>
      <c r="B1" s="2"/>
      <c r="C1" s="11"/>
      <c r="D1" s="279" t="s">
        <v>11</v>
      </c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  <c r="AA1" s="280"/>
      <c r="AB1" s="281"/>
    </row>
    <row r="2" spans="1:28">
      <c r="A2" s="282" t="s">
        <v>2</v>
      </c>
      <c r="B2" s="284" t="s">
        <v>15</v>
      </c>
      <c r="C2" s="284" t="s">
        <v>23</v>
      </c>
      <c r="D2" s="2">
        <v>2013</v>
      </c>
      <c r="E2" s="2">
        <v>2014</v>
      </c>
      <c r="F2" s="2">
        <v>2015</v>
      </c>
      <c r="G2" s="2">
        <v>2016</v>
      </c>
      <c r="H2" s="21">
        <v>2017</v>
      </c>
      <c r="I2" s="9">
        <v>2018</v>
      </c>
      <c r="J2" s="9">
        <v>2019</v>
      </c>
      <c r="K2" s="9">
        <v>2020</v>
      </c>
      <c r="L2" s="9">
        <v>2021</v>
      </c>
      <c r="M2" s="9">
        <v>2022</v>
      </c>
      <c r="N2" s="9">
        <v>2023</v>
      </c>
      <c r="O2" s="9">
        <v>2024</v>
      </c>
      <c r="P2" s="9">
        <v>2025</v>
      </c>
      <c r="Q2" s="9">
        <v>2026</v>
      </c>
      <c r="R2" s="9">
        <v>2027</v>
      </c>
      <c r="S2" s="9">
        <v>2028</v>
      </c>
      <c r="T2" s="9">
        <v>2029</v>
      </c>
      <c r="U2" s="9">
        <v>2030</v>
      </c>
      <c r="V2" s="9">
        <v>2031</v>
      </c>
      <c r="W2" s="9">
        <v>2032</v>
      </c>
      <c r="X2" s="9">
        <v>2033</v>
      </c>
      <c r="Y2" s="9">
        <v>2034</v>
      </c>
      <c r="Z2" s="9">
        <v>2035</v>
      </c>
      <c r="AA2" s="9">
        <v>2036</v>
      </c>
      <c r="AB2" s="9">
        <v>2037</v>
      </c>
    </row>
    <row r="3" spans="1:28">
      <c r="A3" s="283"/>
      <c r="B3" s="285"/>
      <c r="C3" s="285"/>
      <c r="D3" s="2"/>
      <c r="E3" s="2"/>
      <c r="F3" s="2"/>
      <c r="G3" s="2"/>
      <c r="H3" s="8"/>
      <c r="I3" s="8"/>
      <c r="J3" s="8"/>
      <c r="K3" s="8"/>
      <c r="L3" s="8"/>
      <c r="M3" s="8"/>
      <c r="N3" s="8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</row>
    <row r="4" spans="1:28" s="35" customFormat="1">
      <c r="A4" s="259" t="s">
        <v>48</v>
      </c>
      <c r="B4" s="32" t="s">
        <v>3</v>
      </c>
      <c r="C4" s="33"/>
      <c r="D4" s="34">
        <v>8</v>
      </c>
      <c r="E4" s="34">
        <v>24</v>
      </c>
      <c r="F4" s="34">
        <v>38</v>
      </c>
      <c r="G4" s="34">
        <v>38</v>
      </c>
      <c r="H4" s="34">
        <v>40</v>
      </c>
      <c r="I4" s="34">
        <f>H4</f>
        <v>40</v>
      </c>
      <c r="J4" s="34">
        <f t="shared" ref="J4:AB4" si="0">I4</f>
        <v>40</v>
      </c>
      <c r="K4" s="34">
        <f t="shared" si="0"/>
        <v>40</v>
      </c>
      <c r="L4" s="34">
        <f t="shared" si="0"/>
        <v>40</v>
      </c>
      <c r="M4" s="34">
        <f t="shared" si="0"/>
        <v>40</v>
      </c>
      <c r="N4" s="34">
        <f t="shared" si="0"/>
        <v>40</v>
      </c>
      <c r="O4" s="34">
        <f t="shared" si="0"/>
        <v>40</v>
      </c>
      <c r="P4" s="34">
        <f t="shared" si="0"/>
        <v>40</v>
      </c>
      <c r="Q4" s="34">
        <f t="shared" si="0"/>
        <v>40</v>
      </c>
      <c r="R4" s="34">
        <f t="shared" si="0"/>
        <v>40</v>
      </c>
      <c r="S4" s="34">
        <f t="shared" si="0"/>
        <v>40</v>
      </c>
      <c r="T4" s="34">
        <f t="shared" si="0"/>
        <v>40</v>
      </c>
      <c r="U4" s="34">
        <f t="shared" si="0"/>
        <v>40</v>
      </c>
      <c r="V4" s="34">
        <f t="shared" si="0"/>
        <v>40</v>
      </c>
      <c r="W4" s="34">
        <f t="shared" si="0"/>
        <v>40</v>
      </c>
      <c r="X4" s="34">
        <f t="shared" si="0"/>
        <v>40</v>
      </c>
      <c r="Y4" s="34">
        <f t="shared" si="0"/>
        <v>40</v>
      </c>
      <c r="Z4" s="34">
        <f t="shared" si="0"/>
        <v>40</v>
      </c>
      <c r="AA4" s="34">
        <f t="shared" si="0"/>
        <v>40</v>
      </c>
      <c r="AB4" s="34">
        <f t="shared" si="0"/>
        <v>40</v>
      </c>
    </row>
    <row r="5" spans="1:28" s="16" customFormat="1">
      <c r="A5" s="260"/>
      <c r="B5" s="32" t="s">
        <v>4</v>
      </c>
      <c r="C5" s="14"/>
      <c r="D5" s="36">
        <f>0</f>
        <v>0</v>
      </c>
      <c r="E5" s="36">
        <f>0</f>
        <v>0</v>
      </c>
      <c r="F5" s="36">
        <f>0</f>
        <v>0</v>
      </c>
      <c r="G5" s="36">
        <f>0</f>
        <v>0</v>
      </c>
      <c r="H5" s="36">
        <f>0</f>
        <v>0</v>
      </c>
      <c r="I5" s="36">
        <f>0</f>
        <v>0</v>
      </c>
      <c r="J5" s="36">
        <f>0</f>
        <v>0</v>
      </c>
      <c r="K5" s="36">
        <f>0</f>
        <v>0</v>
      </c>
      <c r="L5" s="36">
        <f>0</f>
        <v>0</v>
      </c>
      <c r="M5" s="36">
        <f>0</f>
        <v>0</v>
      </c>
      <c r="N5" s="36">
        <f>0</f>
        <v>0</v>
      </c>
      <c r="O5" s="36">
        <f>N5</f>
        <v>0</v>
      </c>
      <c r="P5" s="36">
        <f t="shared" ref="P5:AB10" si="1">O5</f>
        <v>0</v>
      </c>
      <c r="Q5" s="36">
        <f t="shared" si="1"/>
        <v>0</v>
      </c>
      <c r="R5" s="36">
        <f t="shared" si="1"/>
        <v>0</v>
      </c>
      <c r="S5" s="36">
        <f t="shared" si="1"/>
        <v>0</v>
      </c>
      <c r="T5" s="36">
        <f t="shared" si="1"/>
        <v>0</v>
      </c>
      <c r="U5" s="36">
        <f t="shared" si="1"/>
        <v>0</v>
      </c>
      <c r="V5" s="36">
        <f t="shared" si="1"/>
        <v>0</v>
      </c>
      <c r="W5" s="36">
        <f t="shared" si="1"/>
        <v>0</v>
      </c>
      <c r="X5" s="36">
        <f t="shared" si="1"/>
        <v>0</v>
      </c>
      <c r="Y5" s="36">
        <f t="shared" si="1"/>
        <v>0</v>
      </c>
      <c r="Z5" s="36">
        <f t="shared" si="1"/>
        <v>0</v>
      </c>
      <c r="AA5" s="36">
        <f t="shared" si="1"/>
        <v>0</v>
      </c>
      <c r="AB5" s="36">
        <f t="shared" si="1"/>
        <v>0</v>
      </c>
    </row>
    <row r="6" spans="1:28" s="16" customFormat="1">
      <c r="A6" s="260"/>
      <c r="B6" s="32" t="s">
        <v>16</v>
      </c>
      <c r="C6" s="14"/>
      <c r="D6" s="36">
        <v>40</v>
      </c>
      <c r="E6" s="36">
        <f>D6</f>
        <v>40</v>
      </c>
      <c r="F6" s="36">
        <f t="shared" ref="F6:O6" si="2">E6</f>
        <v>40</v>
      </c>
      <c r="G6" s="36">
        <f t="shared" si="2"/>
        <v>40</v>
      </c>
      <c r="H6" s="36">
        <f t="shared" si="2"/>
        <v>40</v>
      </c>
      <c r="I6" s="36">
        <f t="shared" si="2"/>
        <v>40</v>
      </c>
      <c r="J6" s="36">
        <f t="shared" si="2"/>
        <v>40</v>
      </c>
      <c r="K6" s="36">
        <f t="shared" si="2"/>
        <v>40</v>
      </c>
      <c r="L6" s="36">
        <f t="shared" si="2"/>
        <v>40</v>
      </c>
      <c r="M6" s="36">
        <f t="shared" si="2"/>
        <v>40</v>
      </c>
      <c r="N6" s="36">
        <f t="shared" si="2"/>
        <v>40</v>
      </c>
      <c r="O6" s="36">
        <f t="shared" si="2"/>
        <v>40</v>
      </c>
      <c r="P6" s="36">
        <f t="shared" si="1"/>
        <v>40</v>
      </c>
      <c r="Q6" s="36">
        <f t="shared" si="1"/>
        <v>40</v>
      </c>
      <c r="R6" s="36">
        <f t="shared" si="1"/>
        <v>40</v>
      </c>
      <c r="S6" s="36">
        <f t="shared" si="1"/>
        <v>40</v>
      </c>
      <c r="T6" s="36">
        <f t="shared" si="1"/>
        <v>40</v>
      </c>
      <c r="U6" s="36">
        <f t="shared" si="1"/>
        <v>40</v>
      </c>
      <c r="V6" s="36">
        <f t="shared" si="1"/>
        <v>40</v>
      </c>
      <c r="W6" s="36">
        <f t="shared" si="1"/>
        <v>40</v>
      </c>
      <c r="X6" s="36">
        <f t="shared" si="1"/>
        <v>40</v>
      </c>
      <c r="Y6" s="36">
        <f t="shared" si="1"/>
        <v>40</v>
      </c>
      <c r="Z6" s="36">
        <f t="shared" si="1"/>
        <v>40</v>
      </c>
      <c r="AA6" s="36">
        <f t="shared" si="1"/>
        <v>40</v>
      </c>
      <c r="AB6" s="36">
        <f t="shared" si="1"/>
        <v>40</v>
      </c>
    </row>
    <row r="7" spans="1:28" s="16" customFormat="1">
      <c r="A7" s="260"/>
      <c r="B7" s="32" t="s">
        <v>17</v>
      </c>
      <c r="C7" s="14"/>
      <c r="D7" s="36">
        <f>D6</f>
        <v>40</v>
      </c>
      <c r="E7" s="36">
        <f t="shared" ref="E7:AB8" si="3">E6</f>
        <v>40</v>
      </c>
      <c r="F7" s="36">
        <f t="shared" si="3"/>
        <v>40</v>
      </c>
      <c r="G7" s="36">
        <f t="shared" si="3"/>
        <v>40</v>
      </c>
      <c r="H7" s="36">
        <f t="shared" si="3"/>
        <v>40</v>
      </c>
      <c r="I7" s="36">
        <f t="shared" si="3"/>
        <v>40</v>
      </c>
      <c r="J7" s="36">
        <f t="shared" si="3"/>
        <v>40</v>
      </c>
      <c r="K7" s="36">
        <f t="shared" si="3"/>
        <v>40</v>
      </c>
      <c r="L7" s="36">
        <f t="shared" si="3"/>
        <v>40</v>
      </c>
      <c r="M7" s="36">
        <f t="shared" si="3"/>
        <v>40</v>
      </c>
      <c r="N7" s="36">
        <f t="shared" si="3"/>
        <v>40</v>
      </c>
      <c r="O7" s="36">
        <f t="shared" si="3"/>
        <v>40</v>
      </c>
      <c r="P7" s="36">
        <f t="shared" si="3"/>
        <v>40</v>
      </c>
      <c r="Q7" s="36">
        <f t="shared" si="3"/>
        <v>40</v>
      </c>
      <c r="R7" s="36">
        <f t="shared" si="3"/>
        <v>40</v>
      </c>
      <c r="S7" s="36">
        <f t="shared" si="3"/>
        <v>40</v>
      </c>
      <c r="T7" s="36">
        <f t="shared" si="3"/>
        <v>40</v>
      </c>
      <c r="U7" s="36">
        <f t="shared" si="3"/>
        <v>40</v>
      </c>
      <c r="V7" s="36">
        <f t="shared" si="3"/>
        <v>40</v>
      </c>
      <c r="W7" s="36">
        <f t="shared" si="3"/>
        <v>40</v>
      </c>
      <c r="X7" s="36">
        <f t="shared" si="3"/>
        <v>40</v>
      </c>
      <c r="Y7" s="36">
        <f t="shared" si="3"/>
        <v>40</v>
      </c>
      <c r="Z7" s="36">
        <f t="shared" si="3"/>
        <v>40</v>
      </c>
      <c r="AA7" s="36">
        <f t="shared" si="3"/>
        <v>40</v>
      </c>
      <c r="AB7" s="36">
        <f t="shared" si="3"/>
        <v>40</v>
      </c>
    </row>
    <row r="8" spans="1:28" s="16" customFormat="1">
      <c r="A8" s="260"/>
      <c r="B8" s="32" t="s">
        <v>20</v>
      </c>
      <c r="C8" s="14"/>
      <c r="D8" s="36">
        <f>D7</f>
        <v>40</v>
      </c>
      <c r="E8" s="36">
        <f t="shared" si="3"/>
        <v>40</v>
      </c>
      <c r="F8" s="36">
        <f t="shared" si="3"/>
        <v>40</v>
      </c>
      <c r="G8" s="36">
        <f t="shared" si="3"/>
        <v>40</v>
      </c>
      <c r="H8" s="36">
        <f t="shared" si="3"/>
        <v>40</v>
      </c>
      <c r="I8" s="36">
        <f t="shared" si="3"/>
        <v>40</v>
      </c>
      <c r="J8" s="36">
        <f t="shared" si="3"/>
        <v>40</v>
      </c>
      <c r="K8" s="36">
        <f t="shared" si="3"/>
        <v>40</v>
      </c>
      <c r="L8" s="36">
        <f t="shared" si="3"/>
        <v>40</v>
      </c>
      <c r="M8" s="36">
        <f t="shared" si="3"/>
        <v>40</v>
      </c>
      <c r="N8" s="36">
        <f t="shared" si="3"/>
        <v>40</v>
      </c>
      <c r="O8" s="36">
        <f t="shared" si="3"/>
        <v>40</v>
      </c>
      <c r="P8" s="36">
        <f t="shared" si="3"/>
        <v>40</v>
      </c>
      <c r="Q8" s="36">
        <f t="shared" si="3"/>
        <v>40</v>
      </c>
      <c r="R8" s="36">
        <f t="shared" si="3"/>
        <v>40</v>
      </c>
      <c r="S8" s="36">
        <f t="shared" si="3"/>
        <v>40</v>
      </c>
      <c r="T8" s="36">
        <f t="shared" si="3"/>
        <v>40</v>
      </c>
      <c r="U8" s="36">
        <f t="shared" si="3"/>
        <v>40</v>
      </c>
      <c r="V8" s="36">
        <f t="shared" si="3"/>
        <v>40</v>
      </c>
      <c r="W8" s="36">
        <f t="shared" si="3"/>
        <v>40</v>
      </c>
      <c r="X8" s="36">
        <f t="shared" si="3"/>
        <v>40</v>
      </c>
      <c r="Y8" s="36">
        <f t="shared" si="3"/>
        <v>40</v>
      </c>
      <c r="Z8" s="36">
        <f t="shared" si="3"/>
        <v>40</v>
      </c>
      <c r="AA8" s="36">
        <f t="shared" si="3"/>
        <v>40</v>
      </c>
      <c r="AB8" s="36">
        <f t="shared" si="3"/>
        <v>40</v>
      </c>
    </row>
    <row r="9" spans="1:28" s="16" customFormat="1">
      <c r="A9" s="260"/>
      <c r="B9" s="32" t="s">
        <v>18</v>
      </c>
      <c r="C9" s="14"/>
      <c r="D9" s="36">
        <f>D8</f>
        <v>40</v>
      </c>
      <c r="E9" s="36">
        <f>D9</f>
        <v>40</v>
      </c>
      <c r="F9" s="36">
        <f t="shared" ref="F9:G9" si="4">E9</f>
        <v>40</v>
      </c>
      <c r="G9" s="36">
        <f t="shared" si="4"/>
        <v>40</v>
      </c>
      <c r="H9" s="36">
        <v>150</v>
      </c>
      <c r="I9" s="36">
        <f>H9</f>
        <v>150</v>
      </c>
      <c r="J9" s="36">
        <f t="shared" ref="J9:O9" si="5">I9</f>
        <v>150</v>
      </c>
      <c r="K9" s="36">
        <f t="shared" si="5"/>
        <v>150</v>
      </c>
      <c r="L9" s="36">
        <f t="shared" si="5"/>
        <v>150</v>
      </c>
      <c r="M9" s="36">
        <f t="shared" si="5"/>
        <v>150</v>
      </c>
      <c r="N9" s="36">
        <f t="shared" si="5"/>
        <v>150</v>
      </c>
      <c r="O9" s="36">
        <f t="shared" si="5"/>
        <v>150</v>
      </c>
      <c r="P9" s="36">
        <f t="shared" si="1"/>
        <v>150</v>
      </c>
      <c r="Q9" s="36">
        <f t="shared" si="1"/>
        <v>150</v>
      </c>
      <c r="R9" s="36">
        <f t="shared" si="1"/>
        <v>150</v>
      </c>
      <c r="S9" s="36">
        <f t="shared" si="1"/>
        <v>150</v>
      </c>
      <c r="T9" s="36">
        <f t="shared" si="1"/>
        <v>150</v>
      </c>
      <c r="U9" s="36">
        <f t="shared" si="1"/>
        <v>150</v>
      </c>
      <c r="V9" s="36">
        <f t="shared" si="1"/>
        <v>150</v>
      </c>
      <c r="W9" s="36">
        <f t="shared" si="1"/>
        <v>150</v>
      </c>
      <c r="X9" s="36">
        <f t="shared" si="1"/>
        <v>150</v>
      </c>
      <c r="Y9" s="36">
        <f t="shared" si="1"/>
        <v>150</v>
      </c>
      <c r="Z9" s="36">
        <f t="shared" si="1"/>
        <v>150</v>
      </c>
      <c r="AA9" s="36">
        <f t="shared" si="1"/>
        <v>150</v>
      </c>
      <c r="AB9" s="36">
        <f>AA9</f>
        <v>150</v>
      </c>
    </row>
    <row r="10" spans="1:28" s="16" customFormat="1">
      <c r="A10" s="260"/>
      <c r="B10" s="32" t="s">
        <v>19</v>
      </c>
      <c r="C10" s="14"/>
      <c r="D10" s="36">
        <f>D9</f>
        <v>40</v>
      </c>
      <c r="E10" s="36">
        <f t="shared" ref="E10:G10" si="6">E9</f>
        <v>40</v>
      </c>
      <c r="F10" s="36">
        <f t="shared" si="6"/>
        <v>40</v>
      </c>
      <c r="G10" s="36">
        <f t="shared" si="6"/>
        <v>40</v>
      </c>
      <c r="H10" s="36">
        <f>H9</f>
        <v>150</v>
      </c>
      <c r="I10" s="36">
        <f>H10</f>
        <v>150</v>
      </c>
      <c r="J10" s="36">
        <f t="shared" ref="J10:O10" si="7">I10</f>
        <v>150</v>
      </c>
      <c r="K10" s="36">
        <f t="shared" si="7"/>
        <v>150</v>
      </c>
      <c r="L10" s="36">
        <f t="shared" si="7"/>
        <v>150</v>
      </c>
      <c r="M10" s="36">
        <f t="shared" si="7"/>
        <v>150</v>
      </c>
      <c r="N10" s="36">
        <f t="shared" si="7"/>
        <v>150</v>
      </c>
      <c r="O10" s="36">
        <f t="shared" si="7"/>
        <v>150</v>
      </c>
      <c r="P10" s="36">
        <f t="shared" si="1"/>
        <v>150</v>
      </c>
      <c r="Q10" s="36">
        <f t="shared" si="1"/>
        <v>150</v>
      </c>
      <c r="R10" s="36">
        <f t="shared" si="1"/>
        <v>150</v>
      </c>
      <c r="S10" s="36">
        <f t="shared" si="1"/>
        <v>150</v>
      </c>
      <c r="T10" s="36">
        <f t="shared" si="1"/>
        <v>150</v>
      </c>
      <c r="U10" s="36">
        <f t="shared" si="1"/>
        <v>150</v>
      </c>
      <c r="V10" s="36">
        <f t="shared" si="1"/>
        <v>150</v>
      </c>
      <c r="W10" s="36">
        <f t="shared" si="1"/>
        <v>150</v>
      </c>
      <c r="X10" s="36">
        <f t="shared" si="1"/>
        <v>150</v>
      </c>
      <c r="Y10" s="36">
        <f t="shared" si="1"/>
        <v>150</v>
      </c>
      <c r="Z10" s="36">
        <f t="shared" si="1"/>
        <v>150</v>
      </c>
      <c r="AA10" s="36">
        <f t="shared" si="1"/>
        <v>150</v>
      </c>
      <c r="AB10" s="36">
        <f t="shared" ref="AB10" si="8">AA10</f>
        <v>150</v>
      </c>
    </row>
    <row r="11" spans="1:28" s="16" customFormat="1">
      <c r="A11" s="260"/>
      <c r="B11" s="32" t="s">
        <v>21</v>
      </c>
      <c r="C11" s="14"/>
      <c r="D11" s="36">
        <f>D10</f>
        <v>40</v>
      </c>
      <c r="E11" s="36">
        <f t="shared" ref="E11:G11" si="9">E10</f>
        <v>40</v>
      </c>
      <c r="F11" s="36">
        <f t="shared" si="9"/>
        <v>40</v>
      </c>
      <c r="G11" s="36">
        <f t="shared" si="9"/>
        <v>40</v>
      </c>
      <c r="H11" s="36">
        <f>H9</f>
        <v>150</v>
      </c>
      <c r="I11" s="36">
        <f t="shared" ref="I11:AB11" si="10">I9</f>
        <v>150</v>
      </c>
      <c r="J11" s="36">
        <f t="shared" si="10"/>
        <v>150</v>
      </c>
      <c r="K11" s="36">
        <f t="shared" si="10"/>
        <v>150</v>
      </c>
      <c r="L11" s="36">
        <f t="shared" si="10"/>
        <v>150</v>
      </c>
      <c r="M11" s="36">
        <f t="shared" si="10"/>
        <v>150</v>
      </c>
      <c r="N11" s="36">
        <f t="shared" si="10"/>
        <v>150</v>
      </c>
      <c r="O11" s="36">
        <f t="shared" si="10"/>
        <v>150</v>
      </c>
      <c r="P11" s="36">
        <f t="shared" si="10"/>
        <v>150</v>
      </c>
      <c r="Q11" s="36">
        <f t="shared" si="10"/>
        <v>150</v>
      </c>
      <c r="R11" s="36">
        <f t="shared" si="10"/>
        <v>150</v>
      </c>
      <c r="S11" s="36">
        <f t="shared" si="10"/>
        <v>150</v>
      </c>
      <c r="T11" s="36">
        <f t="shared" si="10"/>
        <v>150</v>
      </c>
      <c r="U11" s="36">
        <f t="shared" si="10"/>
        <v>150</v>
      </c>
      <c r="V11" s="36">
        <f t="shared" si="10"/>
        <v>150</v>
      </c>
      <c r="W11" s="36">
        <f t="shared" si="10"/>
        <v>150</v>
      </c>
      <c r="X11" s="36">
        <f t="shared" si="10"/>
        <v>150</v>
      </c>
      <c r="Y11" s="36">
        <f t="shared" si="10"/>
        <v>150</v>
      </c>
      <c r="Z11" s="36">
        <f t="shared" si="10"/>
        <v>150</v>
      </c>
      <c r="AA11" s="36">
        <f t="shared" si="10"/>
        <v>150</v>
      </c>
      <c r="AB11" s="36">
        <f t="shared" si="10"/>
        <v>150</v>
      </c>
    </row>
    <row r="12" spans="1:28" s="16" customFormat="1">
      <c r="A12" s="260"/>
      <c r="B12" s="32" t="s">
        <v>6</v>
      </c>
      <c r="C12" s="14"/>
      <c r="D12" s="36">
        <v>50</v>
      </c>
      <c r="E12" s="36">
        <v>65</v>
      </c>
      <c r="F12" s="36">
        <v>69</v>
      </c>
      <c r="G12" s="36">
        <v>75</v>
      </c>
      <c r="H12" s="36">
        <v>75</v>
      </c>
      <c r="I12" s="36">
        <v>83</v>
      </c>
      <c r="J12" s="36">
        <v>85</v>
      </c>
      <c r="K12" s="36">
        <v>87</v>
      </c>
      <c r="L12" s="36">
        <v>90</v>
      </c>
      <c r="M12" s="36">
        <v>90</v>
      </c>
      <c r="N12" s="36">
        <v>91</v>
      </c>
      <c r="O12" s="36">
        <v>91</v>
      </c>
      <c r="P12" s="36">
        <v>91</v>
      </c>
      <c r="Q12" s="36">
        <v>91</v>
      </c>
      <c r="R12" s="36">
        <v>91</v>
      </c>
      <c r="S12" s="36">
        <v>91</v>
      </c>
      <c r="T12" s="36">
        <f t="shared" ref="T12:AB16" si="11">S12</f>
        <v>91</v>
      </c>
      <c r="U12" s="36">
        <f t="shared" si="11"/>
        <v>91</v>
      </c>
      <c r="V12" s="36">
        <f t="shared" si="11"/>
        <v>91</v>
      </c>
      <c r="W12" s="36">
        <f t="shared" si="11"/>
        <v>91</v>
      </c>
      <c r="X12" s="36">
        <f t="shared" si="11"/>
        <v>91</v>
      </c>
      <c r="Y12" s="36">
        <f t="shared" si="11"/>
        <v>91</v>
      </c>
      <c r="Z12" s="36">
        <f t="shared" si="11"/>
        <v>91</v>
      </c>
      <c r="AA12" s="36">
        <f t="shared" si="11"/>
        <v>91</v>
      </c>
      <c r="AB12" s="36">
        <f t="shared" si="11"/>
        <v>91</v>
      </c>
    </row>
    <row r="13" spans="1:28" s="16" customFormat="1">
      <c r="A13" s="260"/>
      <c r="B13" s="32" t="s">
        <v>9</v>
      </c>
      <c r="C13" s="14"/>
      <c r="D13" s="36">
        <v>93</v>
      </c>
      <c r="E13" s="36">
        <v>123</v>
      </c>
      <c r="F13" s="36">
        <v>125</v>
      </c>
      <c r="G13" s="36">
        <v>140</v>
      </c>
      <c r="H13" s="36">
        <v>147</v>
      </c>
      <c r="I13" s="36">
        <v>156</v>
      </c>
      <c r="J13" s="36">
        <v>158</v>
      </c>
      <c r="K13" s="36">
        <v>162</v>
      </c>
      <c r="L13" s="36">
        <v>168</v>
      </c>
      <c r="M13" s="36">
        <v>168</v>
      </c>
      <c r="N13" s="36">
        <v>170</v>
      </c>
      <c r="O13" s="36">
        <v>170</v>
      </c>
      <c r="P13" s="36">
        <v>170</v>
      </c>
      <c r="Q13" s="36">
        <v>170</v>
      </c>
      <c r="R13" s="36">
        <v>170</v>
      </c>
      <c r="S13" s="36">
        <v>170</v>
      </c>
      <c r="T13" s="36">
        <v>170</v>
      </c>
      <c r="U13" s="36">
        <v>170</v>
      </c>
      <c r="V13" s="36">
        <v>170</v>
      </c>
      <c r="W13" s="36">
        <v>170</v>
      </c>
      <c r="X13" s="36">
        <v>170</v>
      </c>
      <c r="Y13" s="36">
        <v>170</v>
      </c>
      <c r="Z13" s="36">
        <v>170</v>
      </c>
      <c r="AA13" s="36">
        <v>170</v>
      </c>
      <c r="AB13" s="36">
        <v>170</v>
      </c>
    </row>
    <row r="14" spans="1:28" s="16" customFormat="1">
      <c r="A14" s="260"/>
      <c r="B14" s="32" t="s">
        <v>10</v>
      </c>
      <c r="C14" s="14"/>
      <c r="D14" s="36">
        <v>178</v>
      </c>
      <c r="E14" s="36">
        <v>188</v>
      </c>
      <c r="F14" s="36">
        <v>195</v>
      </c>
      <c r="G14" s="36">
        <v>220</v>
      </c>
      <c r="H14" s="36">
        <v>224</v>
      </c>
      <c r="I14" s="36">
        <v>236</v>
      </c>
      <c r="J14" s="36">
        <v>242</v>
      </c>
      <c r="K14" s="36">
        <v>247</v>
      </c>
      <c r="L14" s="36">
        <v>256</v>
      </c>
      <c r="M14" s="36">
        <v>257</v>
      </c>
      <c r="N14" s="36">
        <v>257</v>
      </c>
      <c r="O14" s="36">
        <f>N14</f>
        <v>257</v>
      </c>
      <c r="P14" s="36">
        <f t="shared" ref="P14:AB16" si="12">O14</f>
        <v>257</v>
      </c>
      <c r="Q14" s="36">
        <f t="shared" si="12"/>
        <v>257</v>
      </c>
      <c r="R14" s="36">
        <f t="shared" si="12"/>
        <v>257</v>
      </c>
      <c r="S14" s="36">
        <f t="shared" si="12"/>
        <v>257</v>
      </c>
      <c r="T14" s="36">
        <f t="shared" si="12"/>
        <v>257</v>
      </c>
      <c r="U14" s="36">
        <f t="shared" si="12"/>
        <v>257</v>
      </c>
      <c r="V14" s="36">
        <f t="shared" si="12"/>
        <v>257</v>
      </c>
      <c r="W14" s="36">
        <f t="shared" si="12"/>
        <v>257</v>
      </c>
      <c r="X14" s="36">
        <f t="shared" si="12"/>
        <v>257</v>
      </c>
      <c r="Y14" s="36">
        <f t="shared" si="12"/>
        <v>257</v>
      </c>
      <c r="Z14" s="36">
        <f t="shared" si="12"/>
        <v>257</v>
      </c>
      <c r="AA14" s="36">
        <f t="shared" si="12"/>
        <v>257</v>
      </c>
      <c r="AB14" s="36">
        <f t="shared" si="12"/>
        <v>257</v>
      </c>
    </row>
    <row r="15" spans="1:28" s="16" customFormat="1">
      <c r="A15" s="260"/>
      <c r="B15" s="32" t="s">
        <v>1</v>
      </c>
      <c r="C15" s="14">
        <v>5</v>
      </c>
      <c r="D15" s="36">
        <f>'IP points '!E12</f>
        <v>920</v>
      </c>
      <c r="E15" s="36">
        <f>'IP points '!F12</f>
        <v>920</v>
      </c>
      <c r="F15" s="36">
        <f>'IP points '!G12</f>
        <v>920</v>
      </c>
      <c r="G15" s="36">
        <f>'IP points '!H12</f>
        <v>920</v>
      </c>
      <c r="H15" s="36">
        <f>'IP points '!I12</f>
        <v>920</v>
      </c>
      <c r="I15" s="36">
        <f>'IP points '!J12</f>
        <v>920</v>
      </c>
      <c r="J15" s="36">
        <f>'IP points '!K12</f>
        <v>920</v>
      </c>
      <c r="K15" s="36">
        <f>'IP points '!L12</f>
        <v>920</v>
      </c>
      <c r="L15" s="36">
        <f>K15</f>
        <v>920</v>
      </c>
      <c r="M15" s="36">
        <f t="shared" ref="M15:O15" si="13">L15</f>
        <v>920</v>
      </c>
      <c r="N15" s="36">
        <f t="shared" si="13"/>
        <v>920</v>
      </c>
      <c r="O15" s="36">
        <f t="shared" si="13"/>
        <v>920</v>
      </c>
      <c r="P15" s="36">
        <f t="shared" si="12"/>
        <v>920</v>
      </c>
      <c r="Q15" s="36">
        <f t="shared" si="12"/>
        <v>920</v>
      </c>
      <c r="R15" s="36">
        <f t="shared" si="12"/>
        <v>920</v>
      </c>
      <c r="S15" s="36">
        <f t="shared" si="12"/>
        <v>920</v>
      </c>
      <c r="T15" s="36">
        <f t="shared" si="12"/>
        <v>920</v>
      </c>
      <c r="U15" s="36">
        <f t="shared" si="12"/>
        <v>920</v>
      </c>
      <c r="V15" s="36">
        <f t="shared" si="12"/>
        <v>920</v>
      </c>
      <c r="W15" s="36">
        <f t="shared" si="12"/>
        <v>920</v>
      </c>
      <c r="X15" s="36">
        <f t="shared" si="12"/>
        <v>920</v>
      </c>
      <c r="Y15" s="36">
        <f t="shared" si="12"/>
        <v>920</v>
      </c>
      <c r="Z15" s="36">
        <f t="shared" si="12"/>
        <v>920</v>
      </c>
      <c r="AA15" s="36">
        <f t="shared" si="12"/>
        <v>920</v>
      </c>
      <c r="AB15" s="36">
        <f t="shared" si="11"/>
        <v>920</v>
      </c>
    </row>
    <row r="16" spans="1:28" s="16" customFormat="1">
      <c r="A16" s="260"/>
      <c r="B16" s="32" t="s">
        <v>24</v>
      </c>
      <c r="C16" s="14"/>
      <c r="D16" s="36">
        <f>'IP points '!E19</f>
        <v>680</v>
      </c>
      <c r="E16" s="36">
        <f>'IP points '!F19</f>
        <v>680</v>
      </c>
      <c r="F16" s="36">
        <f>'IP points '!G19</f>
        <v>680</v>
      </c>
      <c r="G16" s="36">
        <f>'IP points '!H19</f>
        <v>680</v>
      </c>
      <c r="H16" s="36">
        <f>'IP points '!I19</f>
        <v>680</v>
      </c>
      <c r="I16" s="36">
        <f>'IP points '!J19</f>
        <v>680</v>
      </c>
      <c r="J16" s="36">
        <f>'IP points '!K19</f>
        <v>680</v>
      </c>
      <c r="K16" s="36">
        <f>'IP points '!L19</f>
        <v>680</v>
      </c>
      <c r="L16" s="36">
        <f>K16</f>
        <v>680</v>
      </c>
      <c r="M16" s="36">
        <f t="shared" ref="M16:O16" si="14">L16</f>
        <v>680</v>
      </c>
      <c r="N16" s="36">
        <f t="shared" si="14"/>
        <v>680</v>
      </c>
      <c r="O16" s="36">
        <f t="shared" si="14"/>
        <v>680</v>
      </c>
      <c r="P16" s="36">
        <f t="shared" si="12"/>
        <v>680</v>
      </c>
      <c r="Q16" s="36">
        <f t="shared" si="12"/>
        <v>680</v>
      </c>
      <c r="R16" s="36">
        <f t="shared" si="12"/>
        <v>680</v>
      </c>
      <c r="S16" s="36">
        <f t="shared" si="12"/>
        <v>680</v>
      </c>
      <c r="T16" s="36">
        <f t="shared" si="12"/>
        <v>680</v>
      </c>
      <c r="U16" s="36">
        <f t="shared" si="12"/>
        <v>680</v>
      </c>
      <c r="V16" s="36">
        <f t="shared" si="12"/>
        <v>680</v>
      </c>
      <c r="W16" s="36">
        <f t="shared" si="12"/>
        <v>680</v>
      </c>
      <c r="X16" s="36">
        <f t="shared" si="12"/>
        <v>680</v>
      </c>
      <c r="Y16" s="36">
        <f t="shared" si="12"/>
        <v>680</v>
      </c>
      <c r="Z16" s="36">
        <f t="shared" si="12"/>
        <v>680</v>
      </c>
      <c r="AA16" s="36">
        <f t="shared" si="12"/>
        <v>680</v>
      </c>
      <c r="AB16" s="36">
        <f t="shared" si="11"/>
        <v>680</v>
      </c>
    </row>
    <row r="17" spans="1:28" s="16" customFormat="1">
      <c r="A17" s="260"/>
      <c r="B17" s="14" t="s">
        <v>22</v>
      </c>
      <c r="C17" s="14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</row>
    <row r="18" spans="1:28" s="16" customFormat="1">
      <c r="A18" s="260"/>
      <c r="B18" s="32" t="s">
        <v>12</v>
      </c>
      <c r="C18" s="32"/>
      <c r="D18" s="36"/>
      <c r="E18" s="36"/>
      <c r="F18" s="36"/>
      <c r="G18" s="36"/>
      <c r="H18" s="15">
        <f>(MIN(H$16,H4+((($C$15-1)/$C$15)*H$15)+H5-H6-H12))/H12</f>
        <v>8.8133333333333326</v>
      </c>
      <c r="I18" s="15">
        <f>(MIN(I$16,I4+((($C$15-1)/$C$15)*I$15)+I5-I6-I12))/I12</f>
        <v>7.8674698795180724</v>
      </c>
      <c r="J18" s="15">
        <f>(MIN(J$16,J4+((($C$15-1)/$C$15)*J$15)+J5-J6-J12))/J12</f>
        <v>7.658823529411765</v>
      </c>
      <c r="K18" s="15">
        <f t="shared" ref="K18:AB18" si="15">(MIN(K$16,K4+((($C$15-1)/$C$15)*K$15)+K5-K6-K12))/K12</f>
        <v>7.4597701149425291</v>
      </c>
      <c r="L18" s="15">
        <f t="shared" si="15"/>
        <v>7.177777777777778</v>
      </c>
      <c r="M18" s="15">
        <f t="shared" si="15"/>
        <v>7.177777777777778</v>
      </c>
      <c r="N18" s="15">
        <f t="shared" si="15"/>
        <v>7.0879120879120876</v>
      </c>
      <c r="O18" s="15">
        <f t="shared" si="15"/>
        <v>7.0879120879120876</v>
      </c>
      <c r="P18" s="15">
        <f t="shared" si="15"/>
        <v>7.0879120879120876</v>
      </c>
      <c r="Q18" s="15">
        <f t="shared" si="15"/>
        <v>7.0879120879120876</v>
      </c>
      <c r="R18" s="15">
        <f t="shared" si="15"/>
        <v>7.0879120879120876</v>
      </c>
      <c r="S18" s="15">
        <f t="shared" si="15"/>
        <v>7.0879120879120876</v>
      </c>
      <c r="T18" s="15">
        <f t="shared" si="15"/>
        <v>7.0879120879120876</v>
      </c>
      <c r="U18" s="15">
        <f t="shared" si="15"/>
        <v>7.0879120879120876</v>
      </c>
      <c r="V18" s="15">
        <f t="shared" si="15"/>
        <v>7.0879120879120876</v>
      </c>
      <c r="W18" s="15">
        <f t="shared" si="15"/>
        <v>7.0879120879120876</v>
      </c>
      <c r="X18" s="15">
        <f t="shared" si="15"/>
        <v>7.0879120879120876</v>
      </c>
      <c r="Y18" s="15">
        <f t="shared" si="15"/>
        <v>7.0879120879120876</v>
      </c>
      <c r="Z18" s="15">
        <f t="shared" si="15"/>
        <v>7.0879120879120876</v>
      </c>
      <c r="AA18" s="15">
        <f t="shared" si="15"/>
        <v>7.0879120879120876</v>
      </c>
      <c r="AB18" s="15">
        <f t="shared" si="15"/>
        <v>7.0879120879120876</v>
      </c>
    </row>
    <row r="19" spans="1:28" s="16" customFormat="1">
      <c r="A19" s="260"/>
      <c r="B19" s="32" t="s">
        <v>25</v>
      </c>
      <c r="C19" s="32"/>
      <c r="D19" s="36"/>
      <c r="E19" s="36"/>
      <c r="F19" s="36"/>
      <c r="G19" s="36"/>
      <c r="H19" s="15">
        <f>(MIN(H$16,H4+((($C$15-1)/$C$15)*H$15)+H5+H7-H13))/H13</f>
        <v>4.5510204081632653</v>
      </c>
      <c r="I19" s="15">
        <f>(MIN(I$16,I4+((($C$15-1)/$C$15)*I$15)+I5+I7-I13))/I13</f>
        <v>4.2307692307692308</v>
      </c>
      <c r="J19" s="15">
        <f t="shared" ref="J19:AB19" si="16">(MIN(J$16,J4+((($C$15-1)/$C$15)*J$15)+J5+J7-J13))/J13</f>
        <v>4.1645569620253164</v>
      </c>
      <c r="K19" s="15">
        <f t="shared" si="16"/>
        <v>4.0370370370370372</v>
      </c>
      <c r="L19" s="15">
        <f t="shared" si="16"/>
        <v>3.8571428571428572</v>
      </c>
      <c r="M19" s="15">
        <f t="shared" si="16"/>
        <v>3.8571428571428572</v>
      </c>
      <c r="N19" s="15">
        <f t="shared" si="16"/>
        <v>3.8</v>
      </c>
      <c r="O19" s="15">
        <f t="shared" si="16"/>
        <v>3.8</v>
      </c>
      <c r="P19" s="15">
        <f t="shared" si="16"/>
        <v>3.8</v>
      </c>
      <c r="Q19" s="15">
        <f t="shared" si="16"/>
        <v>3.8</v>
      </c>
      <c r="R19" s="15">
        <f t="shared" si="16"/>
        <v>3.8</v>
      </c>
      <c r="S19" s="15">
        <f t="shared" si="16"/>
        <v>3.8</v>
      </c>
      <c r="T19" s="15">
        <f t="shared" si="16"/>
        <v>3.8</v>
      </c>
      <c r="U19" s="15">
        <f t="shared" si="16"/>
        <v>3.8</v>
      </c>
      <c r="V19" s="15">
        <f t="shared" si="16"/>
        <v>3.8</v>
      </c>
      <c r="W19" s="15">
        <f t="shared" si="16"/>
        <v>3.8</v>
      </c>
      <c r="X19" s="15">
        <f t="shared" si="16"/>
        <v>3.8</v>
      </c>
      <c r="Y19" s="15">
        <f t="shared" si="16"/>
        <v>3.8</v>
      </c>
      <c r="Z19" s="15">
        <f t="shared" si="16"/>
        <v>3.8</v>
      </c>
      <c r="AA19" s="15">
        <f t="shared" si="16"/>
        <v>3.8</v>
      </c>
      <c r="AB19" s="15">
        <f t="shared" si="16"/>
        <v>3.8</v>
      </c>
    </row>
    <row r="20" spans="1:28" s="16" customFormat="1">
      <c r="A20" s="260"/>
      <c r="B20" s="32" t="s">
        <v>14</v>
      </c>
      <c r="C20" s="32"/>
      <c r="D20" s="36"/>
      <c r="E20" s="36"/>
      <c r="F20" s="36"/>
      <c r="G20" s="36"/>
      <c r="H20" s="15">
        <f>(MIN(H$16,H4+((($C$15-1)/$C$15)*H$15)+H5+H8-H14))/H14</f>
        <v>2.6428571428571428</v>
      </c>
      <c r="I20" s="15">
        <f>(MIN(I$16,I4+((($C$15-1)/$C$15)*I$15)+I5+I8-I14))/I14</f>
        <v>2.4576271186440679</v>
      </c>
      <c r="J20" s="15">
        <f t="shared" ref="J20:AB20" si="17">(MIN(J$16,J4+((($C$15-1)/$C$15)*J$15)+J5+J8-J14))/J14</f>
        <v>2.3719008264462809</v>
      </c>
      <c r="K20" s="15">
        <f t="shared" si="17"/>
        <v>2.3036437246963564</v>
      </c>
      <c r="L20" s="15">
        <f t="shared" si="17"/>
        <v>2.1875</v>
      </c>
      <c r="M20" s="15">
        <f t="shared" si="17"/>
        <v>2.1750972762645913</v>
      </c>
      <c r="N20" s="15">
        <f t="shared" si="17"/>
        <v>2.1750972762645913</v>
      </c>
      <c r="O20" s="15">
        <f t="shared" si="17"/>
        <v>2.1750972762645913</v>
      </c>
      <c r="P20" s="15">
        <f t="shared" si="17"/>
        <v>2.1750972762645913</v>
      </c>
      <c r="Q20" s="15">
        <f t="shared" si="17"/>
        <v>2.1750972762645913</v>
      </c>
      <c r="R20" s="15">
        <f t="shared" si="17"/>
        <v>2.1750972762645913</v>
      </c>
      <c r="S20" s="15">
        <f t="shared" si="17"/>
        <v>2.1750972762645913</v>
      </c>
      <c r="T20" s="15">
        <f t="shared" si="17"/>
        <v>2.1750972762645913</v>
      </c>
      <c r="U20" s="15">
        <f t="shared" si="17"/>
        <v>2.1750972762645913</v>
      </c>
      <c r="V20" s="15">
        <f t="shared" si="17"/>
        <v>2.1750972762645913</v>
      </c>
      <c r="W20" s="15">
        <f t="shared" si="17"/>
        <v>2.1750972762645913</v>
      </c>
      <c r="X20" s="15">
        <f t="shared" si="17"/>
        <v>2.1750972762645913</v>
      </c>
      <c r="Y20" s="15">
        <f t="shared" si="17"/>
        <v>2.1750972762645913</v>
      </c>
      <c r="Z20" s="15">
        <f t="shared" si="17"/>
        <v>2.1750972762645913</v>
      </c>
      <c r="AA20" s="15">
        <f t="shared" si="17"/>
        <v>2.1750972762645913</v>
      </c>
      <c r="AB20" s="15">
        <f t="shared" si="17"/>
        <v>2.1750972762645913</v>
      </c>
    </row>
    <row r="21" spans="1:28" s="16" customFormat="1">
      <c r="A21" s="260"/>
      <c r="B21" s="37" t="s">
        <v>26</v>
      </c>
      <c r="C21" s="37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</row>
    <row r="22" spans="1:28" s="16" customFormat="1">
      <c r="A22" s="260"/>
      <c r="B22" s="32" t="s">
        <v>12</v>
      </c>
      <c r="C22" s="32"/>
      <c r="D22" s="36"/>
      <c r="E22" s="36"/>
      <c r="F22" s="36"/>
      <c r="G22" s="36"/>
      <c r="H22" s="15">
        <f>(MIN(H$16,H4+((($C$15-1)/$C$15)*H$15)+H5-H9-H12))/H12</f>
        <v>7.3466666666666667</v>
      </c>
      <c r="I22" s="15">
        <f>(MIN(I$16,I4+((($C$15-1)/$C$15)*I$15)+I5-I9-I12))/I12</f>
        <v>6.5421686746987948</v>
      </c>
      <c r="J22" s="15">
        <f t="shared" ref="J22:AB22" si="18">(MIN(J$16,J4+((($C$15-1)/$C$15)*J$15)+J5-J9-J12))/J12</f>
        <v>6.3647058823529408</v>
      </c>
      <c r="K22" s="15">
        <f t="shared" si="18"/>
        <v>6.195402298850575</v>
      </c>
      <c r="L22" s="15">
        <f t="shared" si="18"/>
        <v>5.9555555555555557</v>
      </c>
      <c r="M22" s="15">
        <f t="shared" si="18"/>
        <v>5.9555555555555557</v>
      </c>
      <c r="N22" s="15">
        <f t="shared" si="18"/>
        <v>5.8791208791208796</v>
      </c>
      <c r="O22" s="15">
        <f t="shared" si="18"/>
        <v>5.8791208791208796</v>
      </c>
      <c r="P22" s="15">
        <f t="shared" si="18"/>
        <v>5.8791208791208796</v>
      </c>
      <c r="Q22" s="15">
        <f t="shared" si="18"/>
        <v>5.8791208791208796</v>
      </c>
      <c r="R22" s="15">
        <f t="shared" si="18"/>
        <v>5.8791208791208796</v>
      </c>
      <c r="S22" s="15">
        <f t="shared" si="18"/>
        <v>5.8791208791208796</v>
      </c>
      <c r="T22" s="15">
        <f t="shared" si="18"/>
        <v>5.8791208791208796</v>
      </c>
      <c r="U22" s="15">
        <f t="shared" si="18"/>
        <v>5.8791208791208796</v>
      </c>
      <c r="V22" s="15">
        <f t="shared" si="18"/>
        <v>5.8791208791208796</v>
      </c>
      <c r="W22" s="15">
        <f t="shared" si="18"/>
        <v>5.8791208791208796</v>
      </c>
      <c r="X22" s="15">
        <f t="shared" si="18"/>
        <v>5.8791208791208796</v>
      </c>
      <c r="Y22" s="15">
        <f t="shared" si="18"/>
        <v>5.8791208791208796</v>
      </c>
      <c r="Z22" s="15">
        <f t="shared" si="18"/>
        <v>5.8791208791208796</v>
      </c>
      <c r="AA22" s="15">
        <f t="shared" si="18"/>
        <v>5.8791208791208796</v>
      </c>
      <c r="AB22" s="15">
        <f t="shared" si="18"/>
        <v>5.8791208791208796</v>
      </c>
    </row>
    <row r="23" spans="1:28" s="16" customFormat="1">
      <c r="A23" s="260"/>
      <c r="B23" s="32" t="s">
        <v>13</v>
      </c>
      <c r="C23" s="32"/>
      <c r="D23" s="36"/>
      <c r="E23" s="36"/>
      <c r="F23" s="36"/>
      <c r="G23" s="36"/>
      <c r="H23" s="15">
        <f>(MIN(H$16,H4+((($C$15-1)/$C$15)*H$15)+H5+H10-H13))/H13</f>
        <v>4.6258503401360542</v>
      </c>
      <c r="I23" s="15">
        <f>(MIN(I$16,I4+((($C$15-1)/$C$15)*I$15)+I5+I10-I13))/I13</f>
        <v>4.3589743589743586</v>
      </c>
      <c r="J23" s="15">
        <f t="shared" ref="J23:AB23" si="19">(MIN(J$16,J4+((($C$15-1)/$C$15)*J$15)+J5+J10-J13))/J13</f>
        <v>4.3037974683544302</v>
      </c>
      <c r="K23" s="15">
        <f t="shared" si="19"/>
        <v>4.1975308641975309</v>
      </c>
      <c r="L23" s="15">
        <f t="shared" si="19"/>
        <v>4.0476190476190474</v>
      </c>
      <c r="M23" s="15">
        <f t="shared" si="19"/>
        <v>4.0476190476190474</v>
      </c>
      <c r="N23" s="15">
        <f t="shared" si="19"/>
        <v>4</v>
      </c>
      <c r="O23" s="15">
        <f t="shared" si="19"/>
        <v>4</v>
      </c>
      <c r="P23" s="15">
        <f t="shared" si="19"/>
        <v>4</v>
      </c>
      <c r="Q23" s="15">
        <f t="shared" si="19"/>
        <v>4</v>
      </c>
      <c r="R23" s="15">
        <f t="shared" si="19"/>
        <v>4</v>
      </c>
      <c r="S23" s="15">
        <f t="shared" si="19"/>
        <v>4</v>
      </c>
      <c r="T23" s="15">
        <f t="shared" si="19"/>
        <v>4</v>
      </c>
      <c r="U23" s="15">
        <f t="shared" si="19"/>
        <v>4</v>
      </c>
      <c r="V23" s="15">
        <f t="shared" si="19"/>
        <v>4</v>
      </c>
      <c r="W23" s="15">
        <f t="shared" si="19"/>
        <v>4</v>
      </c>
      <c r="X23" s="15">
        <f t="shared" si="19"/>
        <v>4</v>
      </c>
      <c r="Y23" s="15">
        <f t="shared" si="19"/>
        <v>4</v>
      </c>
      <c r="Z23" s="15">
        <f t="shared" si="19"/>
        <v>4</v>
      </c>
      <c r="AA23" s="15">
        <f t="shared" si="19"/>
        <v>4</v>
      </c>
      <c r="AB23" s="15">
        <f t="shared" si="19"/>
        <v>4</v>
      </c>
    </row>
    <row r="24" spans="1:28" s="16" customFormat="1">
      <c r="A24" s="260"/>
      <c r="B24" s="32" t="s">
        <v>14</v>
      </c>
      <c r="C24" s="32"/>
      <c r="D24" s="36"/>
      <c r="E24" s="36"/>
      <c r="F24" s="36"/>
      <c r="G24" s="36"/>
      <c r="H24" s="15">
        <f>(MIN(H$16,H4+((($C$15-1)/$C$15)*H$15)+H5+H11-H14))/H14</f>
        <v>3.0357142857142856</v>
      </c>
      <c r="I24" s="15">
        <f t="shared" ref="I24:AB24" si="20">(MIN(I$16,I4+((($C$15-1)/$C$15)*I$15)+I5+I11-I14))/I14</f>
        <v>2.8813559322033897</v>
      </c>
      <c r="J24" s="15">
        <f t="shared" si="20"/>
        <v>2.8099173553719008</v>
      </c>
      <c r="K24" s="15">
        <f t="shared" si="20"/>
        <v>2.7489878542510122</v>
      </c>
      <c r="L24" s="15">
        <f t="shared" si="20"/>
        <v>2.6171875</v>
      </c>
      <c r="M24" s="15">
        <f t="shared" si="20"/>
        <v>2.6031128404669261</v>
      </c>
      <c r="N24" s="15">
        <f t="shared" si="20"/>
        <v>2.6031128404669261</v>
      </c>
      <c r="O24" s="15">
        <f t="shared" si="20"/>
        <v>2.6031128404669261</v>
      </c>
      <c r="P24" s="15">
        <f t="shared" si="20"/>
        <v>2.6031128404669261</v>
      </c>
      <c r="Q24" s="15">
        <f t="shared" si="20"/>
        <v>2.6031128404669261</v>
      </c>
      <c r="R24" s="15">
        <f t="shared" si="20"/>
        <v>2.6031128404669261</v>
      </c>
      <c r="S24" s="15">
        <f t="shared" si="20"/>
        <v>2.6031128404669261</v>
      </c>
      <c r="T24" s="15">
        <f t="shared" si="20"/>
        <v>2.6031128404669261</v>
      </c>
      <c r="U24" s="15">
        <f t="shared" si="20"/>
        <v>2.6031128404669261</v>
      </c>
      <c r="V24" s="15">
        <f t="shared" si="20"/>
        <v>2.6031128404669261</v>
      </c>
      <c r="W24" s="15">
        <f t="shared" si="20"/>
        <v>2.6031128404669261</v>
      </c>
      <c r="X24" s="15">
        <f t="shared" si="20"/>
        <v>2.6031128404669261</v>
      </c>
      <c r="Y24" s="15">
        <f t="shared" si="20"/>
        <v>2.6031128404669261</v>
      </c>
      <c r="Z24" s="15">
        <f t="shared" si="20"/>
        <v>2.6031128404669261</v>
      </c>
      <c r="AA24" s="15">
        <f t="shared" si="20"/>
        <v>2.6031128404669261</v>
      </c>
      <c r="AB24" s="15">
        <f t="shared" si="20"/>
        <v>2.6031128404669261</v>
      </c>
    </row>
    <row r="25" spans="1:28" s="16" customFormat="1">
      <c r="A25" s="260"/>
      <c r="B25" s="32" t="s">
        <v>50</v>
      </c>
      <c r="C25" s="32"/>
      <c r="D25" s="36"/>
      <c r="E25" s="36"/>
      <c r="F25" s="36"/>
      <c r="G25" s="36"/>
      <c r="H25" s="38">
        <f>H22-H18</f>
        <v>-1.4666666666666659</v>
      </c>
      <c r="I25" s="38">
        <f t="shared" ref="I25:AB27" si="21">I22-I18</f>
        <v>-1.3253012048192776</v>
      </c>
      <c r="J25" s="38">
        <f t="shared" si="21"/>
        <v>-1.2941176470588243</v>
      </c>
      <c r="K25" s="38">
        <f t="shared" si="21"/>
        <v>-1.264367816091954</v>
      </c>
      <c r="L25" s="38">
        <f t="shared" si="21"/>
        <v>-1.2222222222222223</v>
      </c>
      <c r="M25" s="38">
        <f t="shared" si="21"/>
        <v>-1.2222222222222223</v>
      </c>
      <c r="N25" s="38">
        <f t="shared" si="21"/>
        <v>-1.208791208791208</v>
      </c>
      <c r="O25" s="38">
        <f t="shared" si="21"/>
        <v>-1.208791208791208</v>
      </c>
      <c r="P25" s="38">
        <f t="shared" si="21"/>
        <v>-1.208791208791208</v>
      </c>
      <c r="Q25" s="38">
        <f t="shared" si="21"/>
        <v>-1.208791208791208</v>
      </c>
      <c r="R25" s="38">
        <f t="shared" si="21"/>
        <v>-1.208791208791208</v>
      </c>
      <c r="S25" s="38">
        <f t="shared" si="21"/>
        <v>-1.208791208791208</v>
      </c>
      <c r="T25" s="38">
        <f t="shared" si="21"/>
        <v>-1.208791208791208</v>
      </c>
      <c r="U25" s="38">
        <f t="shared" si="21"/>
        <v>-1.208791208791208</v>
      </c>
      <c r="V25" s="38">
        <f t="shared" si="21"/>
        <v>-1.208791208791208</v>
      </c>
      <c r="W25" s="38">
        <f t="shared" si="21"/>
        <v>-1.208791208791208</v>
      </c>
      <c r="X25" s="38">
        <f t="shared" si="21"/>
        <v>-1.208791208791208</v>
      </c>
      <c r="Y25" s="38">
        <f t="shared" si="21"/>
        <v>-1.208791208791208</v>
      </c>
      <c r="Z25" s="38">
        <f t="shared" si="21"/>
        <v>-1.208791208791208</v>
      </c>
      <c r="AA25" s="38">
        <f t="shared" si="21"/>
        <v>-1.208791208791208</v>
      </c>
      <c r="AB25" s="38">
        <f t="shared" si="21"/>
        <v>-1.208791208791208</v>
      </c>
    </row>
    <row r="26" spans="1:28" s="16" customFormat="1">
      <c r="A26" s="260"/>
      <c r="B26" s="32" t="s">
        <v>49</v>
      </c>
      <c r="C26" s="32"/>
      <c r="D26" s="36"/>
      <c r="E26" s="36"/>
      <c r="F26" s="36"/>
      <c r="G26" s="36"/>
      <c r="H26" s="15">
        <f>H23-H19</f>
        <v>7.4829931972788977E-2</v>
      </c>
      <c r="I26" s="15">
        <f t="shared" si="21"/>
        <v>0.12820512820512775</v>
      </c>
      <c r="J26" s="15">
        <f t="shared" si="21"/>
        <v>0.13924050632911378</v>
      </c>
      <c r="K26" s="15">
        <f t="shared" si="21"/>
        <v>0.16049382716049365</v>
      </c>
      <c r="L26" s="15">
        <f t="shared" si="21"/>
        <v>0.19047619047619024</v>
      </c>
      <c r="M26" s="15">
        <f t="shared" si="21"/>
        <v>0.19047619047619024</v>
      </c>
      <c r="N26" s="15">
        <f t="shared" si="21"/>
        <v>0.20000000000000018</v>
      </c>
      <c r="O26" s="15">
        <f t="shared" si="21"/>
        <v>0.20000000000000018</v>
      </c>
      <c r="P26" s="15">
        <f t="shared" si="21"/>
        <v>0.20000000000000018</v>
      </c>
      <c r="Q26" s="15">
        <f t="shared" si="21"/>
        <v>0.20000000000000018</v>
      </c>
      <c r="R26" s="15">
        <f t="shared" si="21"/>
        <v>0.20000000000000018</v>
      </c>
      <c r="S26" s="15">
        <f t="shared" si="21"/>
        <v>0.20000000000000018</v>
      </c>
      <c r="T26" s="15">
        <f t="shared" si="21"/>
        <v>0.20000000000000018</v>
      </c>
      <c r="U26" s="15">
        <f t="shared" si="21"/>
        <v>0.20000000000000018</v>
      </c>
      <c r="V26" s="15">
        <f t="shared" si="21"/>
        <v>0.20000000000000018</v>
      </c>
      <c r="W26" s="15">
        <f t="shared" si="21"/>
        <v>0.20000000000000018</v>
      </c>
      <c r="X26" s="15">
        <f t="shared" si="21"/>
        <v>0.20000000000000018</v>
      </c>
      <c r="Y26" s="15">
        <f t="shared" si="21"/>
        <v>0.20000000000000018</v>
      </c>
      <c r="Z26" s="15">
        <f t="shared" si="21"/>
        <v>0.20000000000000018</v>
      </c>
      <c r="AA26" s="15">
        <f t="shared" si="21"/>
        <v>0.20000000000000018</v>
      </c>
      <c r="AB26" s="15">
        <f t="shared" si="21"/>
        <v>0.20000000000000018</v>
      </c>
    </row>
    <row r="27" spans="1:28" s="16" customFormat="1">
      <c r="A27" s="260"/>
      <c r="B27" s="32" t="s">
        <v>51</v>
      </c>
      <c r="C27" s="32"/>
      <c r="D27" s="36"/>
      <c r="E27" s="36"/>
      <c r="F27" s="36"/>
      <c r="G27" s="36"/>
      <c r="H27" s="15">
        <f>H24-H20</f>
        <v>0.39285714285714279</v>
      </c>
      <c r="I27" s="15">
        <f t="shared" si="21"/>
        <v>0.42372881355932179</v>
      </c>
      <c r="J27" s="15">
        <f t="shared" si="21"/>
        <v>0.43801652892561993</v>
      </c>
      <c r="K27" s="15">
        <f t="shared" si="21"/>
        <v>0.44534412955465585</v>
      </c>
      <c r="L27" s="15">
        <f t="shared" si="21"/>
        <v>0.4296875</v>
      </c>
      <c r="M27" s="15">
        <f t="shared" si="21"/>
        <v>0.42801556420233489</v>
      </c>
      <c r="N27" s="15">
        <f t="shared" si="21"/>
        <v>0.42801556420233489</v>
      </c>
      <c r="O27" s="15">
        <f t="shared" si="21"/>
        <v>0.42801556420233489</v>
      </c>
      <c r="P27" s="15">
        <f t="shared" si="21"/>
        <v>0.42801556420233489</v>
      </c>
      <c r="Q27" s="15">
        <f t="shared" si="21"/>
        <v>0.42801556420233489</v>
      </c>
      <c r="R27" s="15">
        <f t="shared" si="21"/>
        <v>0.42801556420233489</v>
      </c>
      <c r="S27" s="15">
        <f t="shared" si="21"/>
        <v>0.42801556420233489</v>
      </c>
      <c r="T27" s="15">
        <f t="shared" si="21"/>
        <v>0.42801556420233489</v>
      </c>
      <c r="U27" s="15">
        <f t="shared" si="21"/>
        <v>0.42801556420233489</v>
      </c>
      <c r="V27" s="15">
        <f t="shared" si="21"/>
        <v>0.42801556420233489</v>
      </c>
      <c r="W27" s="15">
        <f t="shared" si="21"/>
        <v>0.42801556420233489</v>
      </c>
      <c r="X27" s="15">
        <f t="shared" si="21"/>
        <v>0.42801556420233489</v>
      </c>
      <c r="Y27" s="15">
        <f t="shared" si="21"/>
        <v>0.42801556420233489</v>
      </c>
      <c r="Z27" s="15">
        <f t="shared" si="21"/>
        <v>0.42801556420233489</v>
      </c>
      <c r="AA27" s="15">
        <f t="shared" si="21"/>
        <v>0.42801556420233489</v>
      </c>
      <c r="AB27" s="15">
        <f t="shared" si="21"/>
        <v>0.42801556420233489</v>
      </c>
    </row>
    <row r="28" spans="1:28" s="41" customFormat="1" ht="30">
      <c r="A28" s="260"/>
      <c r="B28" s="39" t="s">
        <v>40</v>
      </c>
      <c r="C28" s="40"/>
      <c r="D28" s="15"/>
      <c r="E28" s="15"/>
      <c r="F28" s="15"/>
      <c r="G28" s="15"/>
      <c r="H28" s="15">
        <v>109.84000000000009</v>
      </c>
      <c r="I28" s="15">
        <v>110.40000000000006</v>
      </c>
      <c r="J28" s="15">
        <v>111.18000000000009</v>
      </c>
      <c r="K28" s="15">
        <v>110.90000000000009</v>
      </c>
      <c r="L28" s="15">
        <v>109.52000000000005</v>
      </c>
      <c r="M28" s="15">
        <v>108.86000000000007</v>
      </c>
      <c r="N28" s="15">
        <v>108.86000000000007</v>
      </c>
      <c r="O28" s="15">
        <v>108.86000000000007</v>
      </c>
      <c r="P28" s="15">
        <v>108.86</v>
      </c>
      <c r="Q28" s="15">
        <v>108.86</v>
      </c>
      <c r="R28" s="15">
        <v>108.86</v>
      </c>
      <c r="S28" s="15">
        <v>108.86</v>
      </c>
      <c r="T28" s="15">
        <v>108.86</v>
      </c>
      <c r="U28" s="15">
        <v>108.86</v>
      </c>
      <c r="V28" s="15">
        <v>108.86</v>
      </c>
      <c r="W28" s="15">
        <v>108.86</v>
      </c>
      <c r="X28" s="15">
        <v>108.86</v>
      </c>
      <c r="Y28" s="15">
        <v>108.86</v>
      </c>
      <c r="Z28" s="15">
        <v>108.86</v>
      </c>
      <c r="AA28" s="15">
        <v>108.86</v>
      </c>
      <c r="AB28" s="15">
        <v>108.86</v>
      </c>
    </row>
    <row r="29" spans="1:28" s="41" customFormat="1" ht="30">
      <c r="A29" s="260"/>
      <c r="B29" s="39" t="s">
        <v>43</v>
      </c>
      <c r="C29" s="40"/>
      <c r="D29" s="15"/>
      <c r="E29" s="15"/>
      <c r="F29" s="15"/>
      <c r="G29" s="15"/>
      <c r="H29" s="15">
        <f>H28*14</f>
        <v>1537.7600000000011</v>
      </c>
      <c r="I29" s="15">
        <f t="shared" ref="I29:AB29" si="22">I28*14</f>
        <v>1545.6000000000008</v>
      </c>
      <c r="J29" s="15">
        <f t="shared" si="22"/>
        <v>1556.5200000000013</v>
      </c>
      <c r="K29" s="15">
        <f t="shared" si="22"/>
        <v>1552.6000000000013</v>
      </c>
      <c r="L29" s="15">
        <f t="shared" si="22"/>
        <v>1533.2800000000007</v>
      </c>
      <c r="M29" s="15">
        <f t="shared" si="22"/>
        <v>1524.0400000000009</v>
      </c>
      <c r="N29" s="15">
        <f t="shared" si="22"/>
        <v>1524.0400000000009</v>
      </c>
      <c r="O29" s="15">
        <f t="shared" si="22"/>
        <v>1524.0400000000009</v>
      </c>
      <c r="P29" s="15">
        <f t="shared" si="22"/>
        <v>1524.04</v>
      </c>
      <c r="Q29" s="15">
        <f t="shared" si="22"/>
        <v>1524.04</v>
      </c>
      <c r="R29" s="15">
        <f t="shared" si="22"/>
        <v>1524.04</v>
      </c>
      <c r="S29" s="15">
        <f t="shared" si="22"/>
        <v>1524.04</v>
      </c>
      <c r="T29" s="15">
        <f t="shared" si="22"/>
        <v>1524.04</v>
      </c>
      <c r="U29" s="15">
        <f t="shared" si="22"/>
        <v>1524.04</v>
      </c>
      <c r="V29" s="15">
        <f t="shared" si="22"/>
        <v>1524.04</v>
      </c>
      <c r="W29" s="15">
        <f t="shared" si="22"/>
        <v>1524.04</v>
      </c>
      <c r="X29" s="15">
        <f t="shared" si="22"/>
        <v>1524.04</v>
      </c>
      <c r="Y29" s="15">
        <f t="shared" si="22"/>
        <v>1524.04</v>
      </c>
      <c r="Z29" s="15">
        <f t="shared" si="22"/>
        <v>1524.04</v>
      </c>
      <c r="AA29" s="15">
        <f t="shared" si="22"/>
        <v>1524.04</v>
      </c>
      <c r="AB29" s="15">
        <f t="shared" si="22"/>
        <v>1524.04</v>
      </c>
    </row>
    <row r="30" spans="1:28" s="16" customFormat="1" ht="30">
      <c r="A30" s="260"/>
      <c r="B30" s="42" t="s">
        <v>52</v>
      </c>
      <c r="C30" s="32"/>
      <c r="D30" s="36"/>
      <c r="E30" s="36"/>
      <c r="F30" s="36"/>
      <c r="G30" s="36"/>
      <c r="H30" s="15">
        <f t="shared" ref="H30:AB30" si="23">(MIN(H16,H4+((($C$15-1)/$C$15)*H15)+H5+H11-H14-H28))/H14</f>
        <v>2.6435714285714278</v>
      </c>
      <c r="I30" s="15">
        <f t="shared" si="23"/>
        <v>2.4559322033898301</v>
      </c>
      <c r="J30" s="15">
        <f t="shared" si="23"/>
        <v>2.3670247933884294</v>
      </c>
      <c r="K30" s="15">
        <f t="shared" si="23"/>
        <v>2.2999999999999998</v>
      </c>
      <c r="L30" s="15">
        <f t="shared" si="23"/>
        <v>2.1893749999999996</v>
      </c>
      <c r="M30" s="15">
        <f t="shared" si="23"/>
        <v>2.1795330739299605</v>
      </c>
      <c r="N30" s="15">
        <f t="shared" si="23"/>
        <v>2.1795330739299605</v>
      </c>
      <c r="O30" s="15">
        <f t="shared" si="23"/>
        <v>2.1795330739299605</v>
      </c>
      <c r="P30" s="15">
        <f t="shared" si="23"/>
        <v>2.179533073929961</v>
      </c>
      <c r="Q30" s="15">
        <f t="shared" si="23"/>
        <v>2.179533073929961</v>
      </c>
      <c r="R30" s="15">
        <f t="shared" si="23"/>
        <v>2.179533073929961</v>
      </c>
      <c r="S30" s="15">
        <f t="shared" si="23"/>
        <v>2.179533073929961</v>
      </c>
      <c r="T30" s="15">
        <f t="shared" si="23"/>
        <v>2.179533073929961</v>
      </c>
      <c r="U30" s="15">
        <f t="shared" si="23"/>
        <v>2.179533073929961</v>
      </c>
      <c r="V30" s="15">
        <f t="shared" si="23"/>
        <v>2.179533073929961</v>
      </c>
      <c r="W30" s="15">
        <f t="shared" si="23"/>
        <v>2.179533073929961</v>
      </c>
      <c r="X30" s="15">
        <f t="shared" si="23"/>
        <v>2.179533073929961</v>
      </c>
      <c r="Y30" s="15">
        <f t="shared" si="23"/>
        <v>2.179533073929961</v>
      </c>
      <c r="Z30" s="15">
        <f t="shared" si="23"/>
        <v>2.179533073929961</v>
      </c>
      <c r="AA30" s="15">
        <f t="shared" si="23"/>
        <v>2.179533073929961</v>
      </c>
      <c r="AB30" s="15">
        <f t="shared" si="23"/>
        <v>2.179533073929961</v>
      </c>
    </row>
    <row r="31" spans="1:28" s="16" customFormat="1" ht="30">
      <c r="A31" s="260"/>
      <c r="B31" s="43" t="s">
        <v>41</v>
      </c>
      <c r="C31" s="32"/>
      <c r="D31" s="36"/>
      <c r="E31" s="36"/>
      <c r="F31" s="36"/>
      <c r="G31" s="36"/>
      <c r="H31" s="15">
        <v>110.04812480756298</v>
      </c>
      <c r="I31" s="15">
        <v>109.65162624728099</v>
      </c>
      <c r="J31" s="15">
        <v>110.61179609463527</v>
      </c>
      <c r="K31" s="15">
        <v>109.96903201395612</v>
      </c>
      <c r="L31" s="15">
        <v>109.80517400717424</v>
      </c>
      <c r="M31" s="15">
        <v>109.66350622033947</v>
      </c>
      <c r="N31" s="15">
        <v>110.69564353783741</v>
      </c>
      <c r="O31" s="15">
        <v>110.69564353783741</v>
      </c>
      <c r="P31" s="15">
        <v>110.695643537837</v>
      </c>
      <c r="Q31" s="15">
        <v>110.695643537837</v>
      </c>
      <c r="R31" s="15">
        <v>110.695643537837</v>
      </c>
      <c r="S31" s="15">
        <v>110.695643537837</v>
      </c>
      <c r="T31" s="15">
        <v>110.695643537837</v>
      </c>
      <c r="U31" s="15">
        <v>110.695643537837</v>
      </c>
      <c r="V31" s="15">
        <v>110.695643537837</v>
      </c>
      <c r="W31" s="15">
        <v>110.695643537837</v>
      </c>
      <c r="X31" s="15">
        <v>110.695643537837</v>
      </c>
      <c r="Y31" s="15">
        <v>110.695643537837</v>
      </c>
      <c r="Z31" s="15">
        <v>110.695643537837</v>
      </c>
      <c r="AA31" s="15">
        <v>110.695643537837</v>
      </c>
      <c r="AB31" s="15">
        <v>110.695643537837</v>
      </c>
    </row>
    <row r="32" spans="1:28" s="16" customFormat="1" ht="30">
      <c r="A32" s="260"/>
      <c r="B32" s="43" t="s">
        <v>42</v>
      </c>
      <c r="C32" s="32"/>
      <c r="D32" s="36"/>
      <c r="E32" s="36"/>
      <c r="F32" s="36"/>
      <c r="G32" s="36"/>
      <c r="H32" s="15">
        <f>H31*(183-14)</f>
        <v>18598.133092478143</v>
      </c>
      <c r="I32" s="15">
        <f t="shared" ref="I32:AB32" si="24">I31*(183-14)</f>
        <v>18531.124835790488</v>
      </c>
      <c r="J32" s="15">
        <f t="shared" si="24"/>
        <v>18693.393539993362</v>
      </c>
      <c r="K32" s="15">
        <f t="shared" si="24"/>
        <v>18584.766410358585</v>
      </c>
      <c r="L32" s="15">
        <f t="shared" si="24"/>
        <v>18557.074407212447</v>
      </c>
      <c r="M32" s="15">
        <f t="shared" si="24"/>
        <v>18533.13255123737</v>
      </c>
      <c r="N32" s="15">
        <f t="shared" si="24"/>
        <v>18707.563757894524</v>
      </c>
      <c r="O32" s="15">
        <f t="shared" si="24"/>
        <v>18707.563757894524</v>
      </c>
      <c r="P32" s="15">
        <f t="shared" si="24"/>
        <v>18707.563757894452</v>
      </c>
      <c r="Q32" s="15">
        <f t="shared" si="24"/>
        <v>18707.563757894452</v>
      </c>
      <c r="R32" s="15">
        <f t="shared" si="24"/>
        <v>18707.563757894452</v>
      </c>
      <c r="S32" s="15">
        <f t="shared" si="24"/>
        <v>18707.563757894452</v>
      </c>
      <c r="T32" s="15">
        <f t="shared" si="24"/>
        <v>18707.563757894452</v>
      </c>
      <c r="U32" s="15">
        <f t="shared" si="24"/>
        <v>18707.563757894452</v>
      </c>
      <c r="V32" s="15">
        <f t="shared" si="24"/>
        <v>18707.563757894452</v>
      </c>
      <c r="W32" s="15">
        <f t="shared" si="24"/>
        <v>18707.563757894452</v>
      </c>
      <c r="X32" s="15">
        <f t="shared" si="24"/>
        <v>18707.563757894452</v>
      </c>
      <c r="Y32" s="15">
        <f t="shared" si="24"/>
        <v>18707.563757894452</v>
      </c>
      <c r="Z32" s="15">
        <f t="shared" si="24"/>
        <v>18707.563757894452</v>
      </c>
      <c r="AA32" s="15">
        <f t="shared" si="24"/>
        <v>18707.563757894452</v>
      </c>
      <c r="AB32" s="15">
        <f t="shared" si="24"/>
        <v>18707.563757894452</v>
      </c>
    </row>
    <row r="33" spans="1:28" s="16" customFormat="1" ht="30">
      <c r="A33" s="261"/>
      <c r="B33" s="44" t="s">
        <v>53</v>
      </c>
      <c r="C33" s="32"/>
      <c r="D33" s="36"/>
      <c r="E33" s="36"/>
      <c r="F33" s="36"/>
      <c r="G33" s="36"/>
      <c r="H33" s="15">
        <f>(MIN(H$16,H4+((($C$15-1)/$C$15)*H$15)+H5+H10-H13-H31))/H13</f>
        <v>4.55069302851998</v>
      </c>
      <c r="I33" s="15">
        <f>(MIN(I$16,I4+((($C$15-1)/$C$15)*I$15)+I5+I10-I13-I31))/I13</f>
        <v>4.2330023958507628</v>
      </c>
      <c r="J33" s="15">
        <f t="shared" ref="J33:AB33" si="25">(MIN(J$16,J4+((($C$15-1)/$C$15)*J$15)+J5+J10-J13-J31))/J13</f>
        <v>4.1606848348440808</v>
      </c>
      <c r="K33" s="15">
        <f t="shared" si="25"/>
        <v>4.0372281974447146</v>
      </c>
      <c r="L33" s="15">
        <f t="shared" si="25"/>
        <v>3.8583025356715814</v>
      </c>
      <c r="M33" s="15">
        <f t="shared" si="25"/>
        <v>3.8591457963075029</v>
      </c>
      <c r="N33" s="15">
        <f t="shared" si="25"/>
        <v>3.7959079791891916</v>
      </c>
      <c r="O33" s="15">
        <f t="shared" si="25"/>
        <v>3.7959079791891916</v>
      </c>
      <c r="P33" s="15">
        <f t="shared" si="25"/>
        <v>3.7959079791891943</v>
      </c>
      <c r="Q33" s="15">
        <f t="shared" si="25"/>
        <v>3.7959079791891943</v>
      </c>
      <c r="R33" s="15">
        <f t="shared" si="25"/>
        <v>3.7959079791891943</v>
      </c>
      <c r="S33" s="15">
        <f t="shared" si="25"/>
        <v>3.7959079791891943</v>
      </c>
      <c r="T33" s="15">
        <f t="shared" si="25"/>
        <v>3.7959079791891943</v>
      </c>
      <c r="U33" s="15">
        <f t="shared" si="25"/>
        <v>3.7959079791891943</v>
      </c>
      <c r="V33" s="15">
        <f t="shared" si="25"/>
        <v>3.7959079791891943</v>
      </c>
      <c r="W33" s="15">
        <f t="shared" si="25"/>
        <v>3.7959079791891943</v>
      </c>
      <c r="X33" s="15">
        <f t="shared" si="25"/>
        <v>3.7959079791891943</v>
      </c>
      <c r="Y33" s="15">
        <f t="shared" si="25"/>
        <v>3.7959079791891943</v>
      </c>
      <c r="Z33" s="15">
        <f t="shared" si="25"/>
        <v>3.7959079791891943</v>
      </c>
      <c r="AA33" s="15">
        <f t="shared" si="25"/>
        <v>3.7959079791891943</v>
      </c>
      <c r="AB33" s="15">
        <f t="shared" si="25"/>
        <v>3.7959079791891943</v>
      </c>
    </row>
    <row r="34" spans="1:28" s="17" customFormat="1">
      <c r="A34" s="256" t="s">
        <v>183</v>
      </c>
      <c r="B34" s="19" t="s">
        <v>3</v>
      </c>
      <c r="C34" s="12"/>
      <c r="D34" s="20">
        <f>0</f>
        <v>0</v>
      </c>
      <c r="E34" s="20">
        <f>D34</f>
        <v>0</v>
      </c>
      <c r="F34" s="20">
        <f t="shared" ref="F34:AB34" si="26">E34</f>
        <v>0</v>
      </c>
      <c r="G34" s="20">
        <f t="shared" si="26"/>
        <v>0</v>
      </c>
      <c r="H34" s="20">
        <f t="shared" si="26"/>
        <v>0</v>
      </c>
      <c r="I34" s="20">
        <f t="shared" si="26"/>
        <v>0</v>
      </c>
      <c r="J34" s="20">
        <f t="shared" si="26"/>
        <v>0</v>
      </c>
      <c r="K34" s="20">
        <f t="shared" si="26"/>
        <v>0</v>
      </c>
      <c r="L34" s="20">
        <f t="shared" si="26"/>
        <v>0</v>
      </c>
      <c r="M34" s="20">
        <f t="shared" si="26"/>
        <v>0</v>
      </c>
      <c r="N34" s="20">
        <f t="shared" si="26"/>
        <v>0</v>
      </c>
      <c r="O34" s="20">
        <f t="shared" si="26"/>
        <v>0</v>
      </c>
      <c r="P34" s="20">
        <f t="shared" si="26"/>
        <v>0</v>
      </c>
      <c r="Q34" s="20">
        <f t="shared" si="26"/>
        <v>0</v>
      </c>
      <c r="R34" s="20">
        <f t="shared" si="26"/>
        <v>0</v>
      </c>
      <c r="S34" s="20">
        <f t="shared" si="26"/>
        <v>0</v>
      </c>
      <c r="T34" s="20">
        <f t="shared" si="26"/>
        <v>0</v>
      </c>
      <c r="U34" s="20">
        <f t="shared" si="26"/>
        <v>0</v>
      </c>
      <c r="V34" s="20">
        <f t="shared" si="26"/>
        <v>0</v>
      </c>
      <c r="W34" s="20">
        <f t="shared" si="26"/>
        <v>0</v>
      </c>
      <c r="X34" s="20">
        <f t="shared" si="26"/>
        <v>0</v>
      </c>
      <c r="Y34" s="20">
        <f t="shared" si="26"/>
        <v>0</v>
      </c>
      <c r="Z34" s="20">
        <f t="shared" si="26"/>
        <v>0</v>
      </c>
      <c r="AA34" s="20">
        <f t="shared" si="26"/>
        <v>0</v>
      </c>
      <c r="AB34" s="20">
        <f t="shared" si="26"/>
        <v>0</v>
      </c>
    </row>
    <row r="35" spans="1:28" s="17" customFormat="1">
      <c r="A35" s="257"/>
      <c r="B35" s="19" t="s">
        <v>4</v>
      </c>
      <c r="C35" s="12"/>
      <c r="D35" s="20">
        <f>0</f>
        <v>0</v>
      </c>
      <c r="E35" s="20">
        <f>0</f>
        <v>0</v>
      </c>
      <c r="F35" s="20">
        <f>0</f>
        <v>0</v>
      </c>
      <c r="G35" s="20">
        <f>0</f>
        <v>0</v>
      </c>
      <c r="H35" s="20">
        <f>0</f>
        <v>0</v>
      </c>
      <c r="I35" s="20">
        <f>0</f>
        <v>0</v>
      </c>
      <c r="J35" s="20">
        <f>0</f>
        <v>0</v>
      </c>
      <c r="K35" s="20">
        <f>0</f>
        <v>0</v>
      </c>
      <c r="L35" s="20">
        <f>0</f>
        <v>0</v>
      </c>
      <c r="M35" s="20">
        <f>0</f>
        <v>0</v>
      </c>
      <c r="N35" s="20">
        <f>0</f>
        <v>0</v>
      </c>
      <c r="O35" s="20">
        <f>0</f>
        <v>0</v>
      </c>
      <c r="P35" s="20">
        <f>0</f>
        <v>0</v>
      </c>
      <c r="Q35" s="20">
        <f>0</f>
        <v>0</v>
      </c>
      <c r="R35" s="20">
        <f>0</f>
        <v>0</v>
      </c>
      <c r="S35" s="20">
        <f>0</f>
        <v>0</v>
      </c>
      <c r="T35" s="20">
        <f>0</f>
        <v>0</v>
      </c>
      <c r="U35" s="20">
        <f>0</f>
        <v>0</v>
      </c>
      <c r="V35" s="20">
        <f>0</f>
        <v>0</v>
      </c>
      <c r="W35" s="20">
        <f>0</f>
        <v>0</v>
      </c>
      <c r="X35" s="20">
        <f>0</f>
        <v>0</v>
      </c>
      <c r="Y35" s="20">
        <f>0</f>
        <v>0</v>
      </c>
      <c r="Z35" s="20">
        <f>0</f>
        <v>0</v>
      </c>
      <c r="AA35" s="20">
        <f>0</f>
        <v>0</v>
      </c>
      <c r="AB35" s="20">
        <f>0</f>
        <v>0</v>
      </c>
    </row>
    <row r="36" spans="1:28" s="17" customFormat="1">
      <c r="A36" s="257"/>
      <c r="B36" s="19" t="s">
        <v>5</v>
      </c>
      <c r="C36" s="12"/>
      <c r="D36" s="20">
        <v>24</v>
      </c>
      <c r="E36" s="20">
        <f>D36</f>
        <v>24</v>
      </c>
      <c r="F36" s="20">
        <f t="shared" ref="F36:AB36" si="27">E36</f>
        <v>24</v>
      </c>
      <c r="G36" s="20">
        <f t="shared" si="27"/>
        <v>24</v>
      </c>
      <c r="H36" s="20">
        <f t="shared" si="27"/>
        <v>24</v>
      </c>
      <c r="I36" s="20">
        <f t="shared" si="27"/>
        <v>24</v>
      </c>
      <c r="J36" s="20">
        <f t="shared" si="27"/>
        <v>24</v>
      </c>
      <c r="K36" s="20">
        <f t="shared" si="27"/>
        <v>24</v>
      </c>
      <c r="L36" s="20">
        <f t="shared" si="27"/>
        <v>24</v>
      </c>
      <c r="M36" s="20">
        <f t="shared" si="27"/>
        <v>24</v>
      </c>
      <c r="N36" s="20">
        <f t="shared" si="27"/>
        <v>24</v>
      </c>
      <c r="O36" s="20">
        <f t="shared" si="27"/>
        <v>24</v>
      </c>
      <c r="P36" s="20">
        <f t="shared" si="27"/>
        <v>24</v>
      </c>
      <c r="Q36" s="20">
        <f t="shared" si="27"/>
        <v>24</v>
      </c>
      <c r="R36" s="20">
        <f t="shared" si="27"/>
        <v>24</v>
      </c>
      <c r="S36" s="20">
        <f t="shared" si="27"/>
        <v>24</v>
      </c>
      <c r="T36" s="20">
        <f t="shared" si="27"/>
        <v>24</v>
      </c>
      <c r="U36" s="20">
        <f t="shared" si="27"/>
        <v>24</v>
      </c>
      <c r="V36" s="20">
        <f t="shared" si="27"/>
        <v>24</v>
      </c>
      <c r="W36" s="20">
        <f t="shared" si="27"/>
        <v>24</v>
      </c>
      <c r="X36" s="20">
        <f t="shared" si="27"/>
        <v>24</v>
      </c>
      <c r="Y36" s="20">
        <f t="shared" si="27"/>
        <v>24</v>
      </c>
      <c r="Z36" s="20">
        <f t="shared" si="27"/>
        <v>24</v>
      </c>
      <c r="AA36" s="20">
        <f t="shared" si="27"/>
        <v>24</v>
      </c>
      <c r="AB36" s="20">
        <f t="shared" si="27"/>
        <v>24</v>
      </c>
    </row>
    <row r="37" spans="1:28" s="17" customFormat="1">
      <c r="A37" s="257"/>
      <c r="B37" s="19" t="s">
        <v>7</v>
      </c>
      <c r="C37" s="12"/>
      <c r="D37" s="20">
        <f>D36</f>
        <v>24</v>
      </c>
      <c r="E37" s="20">
        <f>D37</f>
        <v>24</v>
      </c>
      <c r="F37" s="20">
        <f t="shared" ref="E37:AB38" si="28">F36</f>
        <v>24</v>
      </c>
      <c r="G37" s="20">
        <f t="shared" si="28"/>
        <v>24</v>
      </c>
      <c r="H37" s="20">
        <f t="shared" si="28"/>
        <v>24</v>
      </c>
      <c r="I37" s="20">
        <f t="shared" si="28"/>
        <v>24</v>
      </c>
      <c r="J37" s="20">
        <f t="shared" si="28"/>
        <v>24</v>
      </c>
      <c r="K37" s="20">
        <f t="shared" si="28"/>
        <v>24</v>
      </c>
      <c r="L37" s="20">
        <f t="shared" si="28"/>
        <v>24</v>
      </c>
      <c r="M37" s="20">
        <f t="shared" si="28"/>
        <v>24</v>
      </c>
      <c r="N37" s="20">
        <f t="shared" si="28"/>
        <v>24</v>
      </c>
      <c r="O37" s="20">
        <f t="shared" si="28"/>
        <v>24</v>
      </c>
      <c r="P37" s="20">
        <f t="shared" si="28"/>
        <v>24</v>
      </c>
      <c r="Q37" s="20">
        <f t="shared" si="28"/>
        <v>24</v>
      </c>
      <c r="R37" s="20">
        <f t="shared" si="28"/>
        <v>24</v>
      </c>
      <c r="S37" s="20">
        <f t="shared" si="28"/>
        <v>24</v>
      </c>
      <c r="T37" s="20">
        <f t="shared" si="28"/>
        <v>24</v>
      </c>
      <c r="U37" s="20">
        <f t="shared" si="28"/>
        <v>24</v>
      </c>
      <c r="V37" s="20">
        <f t="shared" si="28"/>
        <v>24</v>
      </c>
      <c r="W37" s="20">
        <f t="shared" si="28"/>
        <v>24</v>
      </c>
      <c r="X37" s="20">
        <f t="shared" si="28"/>
        <v>24</v>
      </c>
      <c r="Y37" s="20">
        <f t="shared" si="28"/>
        <v>24</v>
      </c>
      <c r="Z37" s="20">
        <f t="shared" si="28"/>
        <v>24</v>
      </c>
      <c r="AA37" s="20">
        <f t="shared" si="28"/>
        <v>24</v>
      </c>
      <c r="AB37" s="20">
        <f t="shared" si="28"/>
        <v>24</v>
      </c>
    </row>
    <row r="38" spans="1:28" s="17" customFormat="1">
      <c r="A38" s="257"/>
      <c r="B38" s="19" t="s">
        <v>27</v>
      </c>
      <c r="C38" s="12"/>
      <c r="D38" s="20">
        <f>D37</f>
        <v>24</v>
      </c>
      <c r="E38" s="20">
        <f t="shared" si="28"/>
        <v>24</v>
      </c>
      <c r="F38" s="20">
        <f t="shared" si="28"/>
        <v>24</v>
      </c>
      <c r="G38" s="20">
        <f t="shared" si="28"/>
        <v>24</v>
      </c>
      <c r="H38" s="20">
        <f t="shared" si="28"/>
        <v>24</v>
      </c>
      <c r="I38" s="20">
        <f t="shared" si="28"/>
        <v>24</v>
      </c>
      <c r="J38" s="20">
        <f t="shared" si="28"/>
        <v>24</v>
      </c>
      <c r="K38" s="20">
        <f t="shared" si="28"/>
        <v>24</v>
      </c>
      <c r="L38" s="20">
        <f t="shared" si="28"/>
        <v>24</v>
      </c>
      <c r="M38" s="20">
        <f t="shared" si="28"/>
        <v>24</v>
      </c>
      <c r="N38" s="20">
        <f t="shared" si="28"/>
        <v>24</v>
      </c>
      <c r="O38" s="20">
        <f t="shared" si="28"/>
        <v>24</v>
      </c>
      <c r="P38" s="20">
        <f t="shared" si="28"/>
        <v>24</v>
      </c>
      <c r="Q38" s="20">
        <f t="shared" si="28"/>
        <v>24</v>
      </c>
      <c r="R38" s="20">
        <f t="shared" si="28"/>
        <v>24</v>
      </c>
      <c r="S38" s="20">
        <f t="shared" si="28"/>
        <v>24</v>
      </c>
      <c r="T38" s="20">
        <f t="shared" si="28"/>
        <v>24</v>
      </c>
      <c r="U38" s="20">
        <f t="shared" si="28"/>
        <v>24</v>
      </c>
      <c r="V38" s="20">
        <f t="shared" si="28"/>
        <v>24</v>
      </c>
      <c r="W38" s="20">
        <f t="shared" si="28"/>
        <v>24</v>
      </c>
      <c r="X38" s="20">
        <f t="shared" si="28"/>
        <v>24</v>
      </c>
      <c r="Y38" s="20">
        <f t="shared" si="28"/>
        <v>24</v>
      </c>
      <c r="Z38" s="20">
        <f t="shared" si="28"/>
        <v>24</v>
      </c>
      <c r="AA38" s="20">
        <f t="shared" si="28"/>
        <v>24</v>
      </c>
      <c r="AB38" s="20">
        <f t="shared" si="28"/>
        <v>24</v>
      </c>
    </row>
    <row r="39" spans="1:28" s="17" customFormat="1">
      <c r="A39" s="257"/>
      <c r="B39" s="19" t="s">
        <v>6</v>
      </c>
      <c r="C39" s="12"/>
      <c r="D39" s="20">
        <v>57</v>
      </c>
      <c r="E39" s="20">
        <v>57</v>
      </c>
      <c r="F39" s="20">
        <v>57</v>
      </c>
      <c r="G39" s="20">
        <v>57</v>
      </c>
      <c r="H39" s="20">
        <v>77</v>
      </c>
      <c r="I39" s="20">
        <f>H39</f>
        <v>77</v>
      </c>
      <c r="J39" s="20">
        <f t="shared" ref="J39:AB39" si="29">I39</f>
        <v>77</v>
      </c>
      <c r="K39" s="20">
        <f t="shared" si="29"/>
        <v>77</v>
      </c>
      <c r="L39" s="20">
        <f t="shared" si="29"/>
        <v>77</v>
      </c>
      <c r="M39" s="20">
        <f t="shared" si="29"/>
        <v>77</v>
      </c>
      <c r="N39" s="20">
        <f t="shared" si="29"/>
        <v>77</v>
      </c>
      <c r="O39" s="20">
        <f t="shared" si="29"/>
        <v>77</v>
      </c>
      <c r="P39" s="20">
        <f t="shared" si="29"/>
        <v>77</v>
      </c>
      <c r="Q39" s="20">
        <f t="shared" si="29"/>
        <v>77</v>
      </c>
      <c r="R39" s="20">
        <f t="shared" si="29"/>
        <v>77</v>
      </c>
      <c r="S39" s="20">
        <f t="shared" si="29"/>
        <v>77</v>
      </c>
      <c r="T39" s="20">
        <f t="shared" si="29"/>
        <v>77</v>
      </c>
      <c r="U39" s="20">
        <f t="shared" si="29"/>
        <v>77</v>
      </c>
      <c r="V39" s="20">
        <f t="shared" si="29"/>
        <v>77</v>
      </c>
      <c r="W39" s="20">
        <f t="shared" si="29"/>
        <v>77</v>
      </c>
      <c r="X39" s="20">
        <f t="shared" si="29"/>
        <v>77</v>
      </c>
      <c r="Y39" s="20">
        <f t="shared" si="29"/>
        <v>77</v>
      </c>
      <c r="Z39" s="20">
        <f t="shared" si="29"/>
        <v>77</v>
      </c>
      <c r="AA39" s="20">
        <f t="shared" si="29"/>
        <v>77</v>
      </c>
      <c r="AB39" s="20">
        <f t="shared" si="29"/>
        <v>77</v>
      </c>
    </row>
    <row r="40" spans="1:28" s="17" customFormat="1">
      <c r="A40" s="257"/>
      <c r="B40" s="19" t="s">
        <v>9</v>
      </c>
      <c r="C40" s="12"/>
      <c r="D40" s="20">
        <v>106</v>
      </c>
      <c r="E40" s="20">
        <v>106</v>
      </c>
      <c r="F40" s="20">
        <v>106</v>
      </c>
      <c r="G40" s="20">
        <v>106</v>
      </c>
      <c r="H40" s="20">
        <v>140</v>
      </c>
      <c r="I40" s="20">
        <v>140</v>
      </c>
      <c r="J40" s="20">
        <v>140</v>
      </c>
      <c r="K40" s="20">
        <v>140</v>
      </c>
      <c r="L40" s="20">
        <v>140</v>
      </c>
      <c r="M40" s="20">
        <v>140</v>
      </c>
      <c r="N40" s="20">
        <v>140</v>
      </c>
      <c r="O40" s="20">
        <v>140</v>
      </c>
      <c r="P40" s="20">
        <v>140</v>
      </c>
      <c r="Q40" s="20">
        <v>140</v>
      </c>
      <c r="R40" s="20">
        <v>140</v>
      </c>
      <c r="S40" s="20">
        <v>140</v>
      </c>
      <c r="T40" s="20">
        <v>140</v>
      </c>
      <c r="U40" s="20">
        <v>140</v>
      </c>
      <c r="V40" s="20">
        <v>140</v>
      </c>
      <c r="W40" s="20">
        <v>140</v>
      </c>
      <c r="X40" s="20">
        <v>140</v>
      </c>
      <c r="Y40" s="20">
        <v>140</v>
      </c>
      <c r="Z40" s="20">
        <v>140</v>
      </c>
      <c r="AA40" s="20">
        <v>140</v>
      </c>
      <c r="AB40" s="20">
        <v>140</v>
      </c>
    </row>
    <row r="41" spans="1:28" s="17" customFormat="1">
      <c r="A41" s="257"/>
      <c r="B41" s="19" t="s">
        <v>10</v>
      </c>
      <c r="C41" s="12"/>
      <c r="D41" s="20">
        <v>140</v>
      </c>
      <c r="E41" s="20">
        <v>140</v>
      </c>
      <c r="F41" s="20">
        <v>140</v>
      </c>
      <c r="G41" s="20">
        <v>140</v>
      </c>
      <c r="H41" s="20">
        <v>140</v>
      </c>
      <c r="I41" s="20">
        <v>180</v>
      </c>
      <c r="J41" s="20">
        <v>180</v>
      </c>
      <c r="K41" s="20">
        <v>180</v>
      </c>
      <c r="L41" s="20">
        <v>180</v>
      </c>
      <c r="M41" s="20">
        <v>180</v>
      </c>
      <c r="N41" s="20">
        <v>180</v>
      </c>
      <c r="O41" s="20">
        <v>180</v>
      </c>
      <c r="P41" s="20">
        <v>180</v>
      </c>
      <c r="Q41" s="20">
        <v>180</v>
      </c>
      <c r="R41" s="20">
        <v>180</v>
      </c>
      <c r="S41" s="20">
        <v>180</v>
      </c>
      <c r="T41" s="20">
        <v>180</v>
      </c>
      <c r="U41" s="20">
        <v>180</v>
      </c>
      <c r="V41" s="20">
        <v>180</v>
      </c>
      <c r="W41" s="20">
        <v>180</v>
      </c>
      <c r="X41" s="20">
        <v>180</v>
      </c>
      <c r="Y41" s="20">
        <v>180</v>
      </c>
      <c r="Z41" s="20">
        <v>180</v>
      </c>
      <c r="AA41" s="20">
        <v>180</v>
      </c>
      <c r="AB41" s="20">
        <v>180</v>
      </c>
    </row>
    <row r="42" spans="1:28" s="17" customFormat="1">
      <c r="A42" s="257"/>
      <c r="B42" s="19" t="s">
        <v>1</v>
      </c>
      <c r="C42" s="12">
        <v>2</v>
      </c>
      <c r="D42" s="20">
        <f>'IP points '!E22</f>
        <v>190</v>
      </c>
      <c r="E42" s="20">
        <f>'IP points '!F22</f>
        <v>190</v>
      </c>
      <c r="F42" s="20">
        <f>'IP points '!G22</f>
        <v>190</v>
      </c>
      <c r="G42" s="20">
        <f>'IP points '!H22</f>
        <v>190</v>
      </c>
      <c r="H42" s="20">
        <f>'IP points '!I22</f>
        <v>190</v>
      </c>
      <c r="I42" s="20">
        <f>'IP points '!J22</f>
        <v>190</v>
      </c>
      <c r="J42" s="20">
        <f>'IP points '!K22</f>
        <v>190</v>
      </c>
      <c r="K42" s="20">
        <f>'IP points '!L22</f>
        <v>190</v>
      </c>
      <c r="L42" s="20">
        <f>K42</f>
        <v>190</v>
      </c>
      <c r="M42" s="20">
        <f t="shared" ref="M42:AB42" si="30">L42</f>
        <v>190</v>
      </c>
      <c r="N42" s="20">
        <f t="shared" si="30"/>
        <v>190</v>
      </c>
      <c r="O42" s="20">
        <f t="shared" si="30"/>
        <v>190</v>
      </c>
      <c r="P42" s="20">
        <f t="shared" si="30"/>
        <v>190</v>
      </c>
      <c r="Q42" s="20">
        <f t="shared" si="30"/>
        <v>190</v>
      </c>
      <c r="R42" s="20">
        <f t="shared" si="30"/>
        <v>190</v>
      </c>
      <c r="S42" s="20">
        <f t="shared" si="30"/>
        <v>190</v>
      </c>
      <c r="T42" s="20">
        <f t="shared" si="30"/>
        <v>190</v>
      </c>
      <c r="U42" s="20">
        <f t="shared" si="30"/>
        <v>190</v>
      </c>
      <c r="V42" s="20">
        <f t="shared" si="30"/>
        <v>190</v>
      </c>
      <c r="W42" s="20">
        <f t="shared" si="30"/>
        <v>190</v>
      </c>
      <c r="X42" s="20">
        <f t="shared" si="30"/>
        <v>190</v>
      </c>
      <c r="Y42" s="20">
        <f t="shared" si="30"/>
        <v>190</v>
      </c>
      <c r="Z42" s="20">
        <f t="shared" si="30"/>
        <v>190</v>
      </c>
      <c r="AA42" s="20">
        <f t="shared" si="30"/>
        <v>190</v>
      </c>
      <c r="AB42" s="20">
        <f t="shared" si="30"/>
        <v>190</v>
      </c>
    </row>
    <row r="43" spans="1:28" s="17" customFormat="1">
      <c r="A43" s="257"/>
      <c r="B43" s="19" t="s">
        <v>24</v>
      </c>
      <c r="C43" s="12"/>
      <c r="D43" s="20">
        <f>'IP points '!E24</f>
        <v>70</v>
      </c>
      <c r="E43" s="20">
        <f>'IP points '!F24</f>
        <v>70</v>
      </c>
      <c r="F43" s="20">
        <f>'IP points '!G24</f>
        <v>70</v>
      </c>
      <c r="G43" s="20">
        <f>'IP points '!H24</f>
        <v>70</v>
      </c>
      <c r="H43" s="20">
        <f>'IP points '!I24</f>
        <v>70</v>
      </c>
      <c r="I43" s="20">
        <f>'IP points '!J24</f>
        <v>70</v>
      </c>
      <c r="J43" s="20">
        <f>'IP points '!K24</f>
        <v>70</v>
      </c>
      <c r="K43" s="20">
        <f>'IP points '!L24</f>
        <v>70</v>
      </c>
      <c r="L43" s="20">
        <f>K43</f>
        <v>70</v>
      </c>
      <c r="M43" s="20">
        <f t="shared" ref="M43:AB43" si="31">L43</f>
        <v>70</v>
      </c>
      <c r="N43" s="20">
        <f t="shared" si="31"/>
        <v>70</v>
      </c>
      <c r="O43" s="20">
        <f t="shared" si="31"/>
        <v>70</v>
      </c>
      <c r="P43" s="20">
        <f t="shared" si="31"/>
        <v>70</v>
      </c>
      <c r="Q43" s="20">
        <f t="shared" si="31"/>
        <v>70</v>
      </c>
      <c r="R43" s="20">
        <f t="shared" si="31"/>
        <v>70</v>
      </c>
      <c r="S43" s="20">
        <f t="shared" si="31"/>
        <v>70</v>
      </c>
      <c r="T43" s="20">
        <f t="shared" si="31"/>
        <v>70</v>
      </c>
      <c r="U43" s="20">
        <f t="shared" si="31"/>
        <v>70</v>
      </c>
      <c r="V43" s="20">
        <f t="shared" si="31"/>
        <v>70</v>
      </c>
      <c r="W43" s="20">
        <f t="shared" si="31"/>
        <v>70</v>
      </c>
      <c r="X43" s="20">
        <f t="shared" si="31"/>
        <v>70</v>
      </c>
      <c r="Y43" s="20">
        <f t="shared" si="31"/>
        <v>70</v>
      </c>
      <c r="Z43" s="20">
        <f t="shared" si="31"/>
        <v>70</v>
      </c>
      <c r="AA43" s="20">
        <f t="shared" si="31"/>
        <v>70</v>
      </c>
      <c r="AB43" s="20">
        <f t="shared" si="31"/>
        <v>70</v>
      </c>
    </row>
    <row r="44" spans="1:28" s="17" customFormat="1">
      <c r="A44" s="257"/>
      <c r="B44" s="45" t="s">
        <v>22</v>
      </c>
      <c r="C44" s="12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</row>
    <row r="45" spans="1:28" s="17" customFormat="1">
      <c r="A45" s="257"/>
      <c r="B45" s="19" t="s">
        <v>12</v>
      </c>
      <c r="C45" s="19"/>
      <c r="D45" s="18"/>
      <c r="E45" s="18"/>
      <c r="F45" s="18"/>
      <c r="G45" s="18"/>
      <c r="H45" s="18">
        <f>(MIN(H$43,H34+((($C$42-1)/$C$42)*H$42)+H35-H36-H39))/H39</f>
        <v>-7.792207792207792E-2</v>
      </c>
      <c r="I45" s="18">
        <f t="shared" ref="I45:AB45" si="32">(MIN(I$43,I34+((($C$42-1)/$C$42)*I$42)+I35-I36-I39))/I39</f>
        <v>-7.792207792207792E-2</v>
      </c>
      <c r="J45" s="18">
        <f t="shared" si="32"/>
        <v>-7.792207792207792E-2</v>
      </c>
      <c r="K45" s="18">
        <f t="shared" si="32"/>
        <v>-7.792207792207792E-2</v>
      </c>
      <c r="L45" s="18">
        <f t="shared" si="32"/>
        <v>-7.792207792207792E-2</v>
      </c>
      <c r="M45" s="18">
        <f t="shared" si="32"/>
        <v>-7.792207792207792E-2</v>
      </c>
      <c r="N45" s="18">
        <f t="shared" si="32"/>
        <v>-7.792207792207792E-2</v>
      </c>
      <c r="O45" s="18">
        <f t="shared" si="32"/>
        <v>-7.792207792207792E-2</v>
      </c>
      <c r="P45" s="18">
        <f t="shared" si="32"/>
        <v>-7.792207792207792E-2</v>
      </c>
      <c r="Q45" s="18">
        <f t="shared" si="32"/>
        <v>-7.792207792207792E-2</v>
      </c>
      <c r="R45" s="18">
        <f t="shared" si="32"/>
        <v>-7.792207792207792E-2</v>
      </c>
      <c r="S45" s="18">
        <f t="shared" si="32"/>
        <v>-7.792207792207792E-2</v>
      </c>
      <c r="T45" s="18">
        <f t="shared" si="32"/>
        <v>-7.792207792207792E-2</v>
      </c>
      <c r="U45" s="18">
        <f t="shared" si="32"/>
        <v>-7.792207792207792E-2</v>
      </c>
      <c r="V45" s="18">
        <f t="shared" si="32"/>
        <v>-7.792207792207792E-2</v>
      </c>
      <c r="W45" s="18">
        <f t="shared" si="32"/>
        <v>-7.792207792207792E-2</v>
      </c>
      <c r="X45" s="18">
        <f t="shared" si="32"/>
        <v>-7.792207792207792E-2</v>
      </c>
      <c r="Y45" s="18">
        <f t="shared" si="32"/>
        <v>-7.792207792207792E-2</v>
      </c>
      <c r="Z45" s="18">
        <f t="shared" si="32"/>
        <v>-7.792207792207792E-2</v>
      </c>
      <c r="AA45" s="18">
        <f t="shared" si="32"/>
        <v>-7.792207792207792E-2</v>
      </c>
      <c r="AB45" s="18">
        <f t="shared" si="32"/>
        <v>-7.792207792207792E-2</v>
      </c>
    </row>
    <row r="46" spans="1:28" s="17" customFormat="1">
      <c r="A46" s="257"/>
      <c r="B46" s="19" t="s">
        <v>25</v>
      </c>
      <c r="C46" s="19"/>
      <c r="D46" s="20"/>
      <c r="E46" s="20"/>
      <c r="F46" s="20"/>
      <c r="G46" s="20"/>
      <c r="H46" s="18">
        <f>(MIN(H$43,H34+((($C$42-1)/$C$42)*H$43)+H35+H37-H40))/H40</f>
        <v>-0.57857142857142863</v>
      </c>
      <c r="I46" s="18">
        <f t="shared" ref="I46:AB46" si="33">(MIN(I$43,I34+((($C$42-1)/$C$42)*I$43)+I35+I37-I40))/I40</f>
        <v>-0.57857142857142863</v>
      </c>
      <c r="J46" s="18">
        <f t="shared" si="33"/>
        <v>-0.57857142857142863</v>
      </c>
      <c r="K46" s="18">
        <f t="shared" si="33"/>
        <v>-0.57857142857142863</v>
      </c>
      <c r="L46" s="18">
        <f t="shared" si="33"/>
        <v>-0.57857142857142863</v>
      </c>
      <c r="M46" s="18">
        <f t="shared" si="33"/>
        <v>-0.57857142857142863</v>
      </c>
      <c r="N46" s="18">
        <f t="shared" si="33"/>
        <v>-0.57857142857142863</v>
      </c>
      <c r="O46" s="18">
        <f t="shared" si="33"/>
        <v>-0.57857142857142863</v>
      </c>
      <c r="P46" s="18">
        <f t="shared" si="33"/>
        <v>-0.57857142857142863</v>
      </c>
      <c r="Q46" s="18">
        <f t="shared" si="33"/>
        <v>-0.57857142857142863</v>
      </c>
      <c r="R46" s="18">
        <f t="shared" si="33"/>
        <v>-0.57857142857142863</v>
      </c>
      <c r="S46" s="18">
        <f t="shared" si="33"/>
        <v>-0.57857142857142863</v>
      </c>
      <c r="T46" s="18">
        <f t="shared" si="33"/>
        <v>-0.57857142857142863</v>
      </c>
      <c r="U46" s="18">
        <f t="shared" si="33"/>
        <v>-0.57857142857142863</v>
      </c>
      <c r="V46" s="18">
        <f t="shared" si="33"/>
        <v>-0.57857142857142863</v>
      </c>
      <c r="W46" s="18">
        <f t="shared" si="33"/>
        <v>-0.57857142857142863</v>
      </c>
      <c r="X46" s="18">
        <f t="shared" si="33"/>
        <v>-0.57857142857142863</v>
      </c>
      <c r="Y46" s="18">
        <f t="shared" si="33"/>
        <v>-0.57857142857142863</v>
      </c>
      <c r="Z46" s="18">
        <f t="shared" si="33"/>
        <v>-0.57857142857142863</v>
      </c>
      <c r="AA46" s="18">
        <f t="shared" si="33"/>
        <v>-0.57857142857142863</v>
      </c>
      <c r="AB46" s="18">
        <f t="shared" si="33"/>
        <v>-0.57857142857142863</v>
      </c>
    </row>
    <row r="47" spans="1:28" s="17" customFormat="1">
      <c r="A47" s="257"/>
      <c r="B47" s="19" t="s">
        <v>14</v>
      </c>
      <c r="C47" s="19"/>
      <c r="D47" s="20"/>
      <c r="E47" s="20"/>
      <c r="F47" s="20"/>
      <c r="G47" s="20"/>
      <c r="H47" s="18">
        <f>(MIN(H$43,H34+((($C$42-1)/$C$42)*H$42)+H35+H38-H41))/H41</f>
        <v>-0.15</v>
      </c>
      <c r="I47" s="18">
        <f>(MIN(I$43,I34+((($C$42-1)/$C$42)*I$42)+I35+I38-I41))/I41</f>
        <v>-0.33888888888888891</v>
      </c>
      <c r="J47" s="18">
        <f t="shared" ref="J47:AB47" si="34">(MIN(J$43,J34+((($C$42-1)/$C$42)*J$42)+J35+J38-J41))/J41</f>
        <v>-0.33888888888888891</v>
      </c>
      <c r="K47" s="18">
        <f t="shared" si="34"/>
        <v>-0.33888888888888891</v>
      </c>
      <c r="L47" s="18">
        <f t="shared" si="34"/>
        <v>-0.33888888888888891</v>
      </c>
      <c r="M47" s="18">
        <f t="shared" si="34"/>
        <v>-0.33888888888888891</v>
      </c>
      <c r="N47" s="18">
        <f t="shared" si="34"/>
        <v>-0.33888888888888891</v>
      </c>
      <c r="O47" s="18">
        <f t="shared" si="34"/>
        <v>-0.33888888888888891</v>
      </c>
      <c r="P47" s="18">
        <f t="shared" si="34"/>
        <v>-0.33888888888888891</v>
      </c>
      <c r="Q47" s="18">
        <f t="shared" si="34"/>
        <v>-0.33888888888888891</v>
      </c>
      <c r="R47" s="18">
        <f t="shared" si="34"/>
        <v>-0.33888888888888891</v>
      </c>
      <c r="S47" s="18">
        <f t="shared" si="34"/>
        <v>-0.33888888888888891</v>
      </c>
      <c r="T47" s="18">
        <f t="shared" si="34"/>
        <v>-0.33888888888888891</v>
      </c>
      <c r="U47" s="18">
        <f t="shared" si="34"/>
        <v>-0.33888888888888891</v>
      </c>
      <c r="V47" s="18">
        <f t="shared" si="34"/>
        <v>-0.33888888888888891</v>
      </c>
      <c r="W47" s="18">
        <f t="shared" si="34"/>
        <v>-0.33888888888888891</v>
      </c>
      <c r="X47" s="18">
        <f t="shared" si="34"/>
        <v>-0.33888888888888891</v>
      </c>
      <c r="Y47" s="18">
        <f t="shared" si="34"/>
        <v>-0.33888888888888891</v>
      </c>
      <c r="Z47" s="18">
        <f t="shared" si="34"/>
        <v>-0.33888888888888891</v>
      </c>
      <c r="AA47" s="18">
        <f t="shared" si="34"/>
        <v>-0.33888888888888891</v>
      </c>
      <c r="AB47" s="18">
        <f t="shared" si="34"/>
        <v>-0.33888888888888891</v>
      </c>
    </row>
    <row r="48" spans="1:28" s="17" customFormat="1">
      <c r="A48" s="257"/>
      <c r="B48" s="46" t="s">
        <v>54</v>
      </c>
      <c r="C48" s="19"/>
      <c r="D48" s="20"/>
      <c r="E48" s="20"/>
      <c r="F48" s="20"/>
      <c r="G48" s="20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</row>
    <row r="49" spans="1:28" s="17" customFormat="1">
      <c r="A49" s="257"/>
      <c r="B49" s="19" t="s">
        <v>12</v>
      </c>
      <c r="C49" s="19"/>
      <c r="D49" s="20"/>
      <c r="E49" s="20"/>
      <c r="F49" s="20"/>
      <c r="G49" s="20"/>
      <c r="H49" s="18">
        <f>(MIN(H$43,H34+((($C$42-1)/$C$42)*H$42)+H35-H36-H39))/H39</f>
        <v>-7.792207792207792E-2</v>
      </c>
      <c r="I49" s="18">
        <f t="shared" ref="I49:AB49" si="35">(MIN(I$43,I34+((($C$42-1)/$C$42)*I$42)+I35-I36-I39))/I39</f>
        <v>-7.792207792207792E-2</v>
      </c>
      <c r="J49" s="18">
        <f t="shared" si="35"/>
        <v>-7.792207792207792E-2</v>
      </c>
      <c r="K49" s="18">
        <f t="shared" si="35"/>
        <v>-7.792207792207792E-2</v>
      </c>
      <c r="L49" s="18">
        <f t="shared" si="35"/>
        <v>-7.792207792207792E-2</v>
      </c>
      <c r="M49" s="18">
        <f t="shared" si="35"/>
        <v>-7.792207792207792E-2</v>
      </c>
      <c r="N49" s="18">
        <f t="shared" si="35"/>
        <v>-7.792207792207792E-2</v>
      </c>
      <c r="O49" s="18">
        <f t="shared" si="35"/>
        <v>-7.792207792207792E-2</v>
      </c>
      <c r="P49" s="18">
        <f t="shared" si="35"/>
        <v>-7.792207792207792E-2</v>
      </c>
      <c r="Q49" s="18">
        <f t="shared" si="35"/>
        <v>-7.792207792207792E-2</v>
      </c>
      <c r="R49" s="18">
        <f t="shared" si="35"/>
        <v>-7.792207792207792E-2</v>
      </c>
      <c r="S49" s="18">
        <f t="shared" si="35"/>
        <v>-7.792207792207792E-2</v>
      </c>
      <c r="T49" s="18">
        <f t="shared" si="35"/>
        <v>-7.792207792207792E-2</v>
      </c>
      <c r="U49" s="18">
        <f t="shared" si="35"/>
        <v>-7.792207792207792E-2</v>
      </c>
      <c r="V49" s="18">
        <f t="shared" si="35"/>
        <v>-7.792207792207792E-2</v>
      </c>
      <c r="W49" s="18">
        <f t="shared" si="35"/>
        <v>-7.792207792207792E-2</v>
      </c>
      <c r="X49" s="18">
        <f t="shared" si="35"/>
        <v>-7.792207792207792E-2</v>
      </c>
      <c r="Y49" s="18">
        <f t="shared" si="35"/>
        <v>-7.792207792207792E-2</v>
      </c>
      <c r="Z49" s="18">
        <f t="shared" si="35"/>
        <v>-7.792207792207792E-2</v>
      </c>
      <c r="AA49" s="18">
        <f t="shared" si="35"/>
        <v>-7.792207792207792E-2</v>
      </c>
      <c r="AB49" s="18">
        <f t="shared" si="35"/>
        <v>-7.792207792207792E-2</v>
      </c>
    </row>
    <row r="50" spans="1:28" s="17" customFormat="1">
      <c r="A50" s="257"/>
      <c r="B50" s="19" t="s">
        <v>25</v>
      </c>
      <c r="C50" s="19"/>
      <c r="D50" s="20"/>
      <c r="E50" s="20"/>
      <c r="F50" s="20"/>
      <c r="G50" s="20"/>
      <c r="H50" s="18">
        <f>(MIN(H$43,H34+((($C$42-1)/$C$42)*H$43)+H35+H37-H40+H97))/H40</f>
        <v>-0.16307304193090333</v>
      </c>
      <c r="I50" s="18">
        <f>(MIN(I$43,I34+((($C$42-1)/$C$42)*I$43)+I35+I37-I40+I97))/I40</f>
        <v>-0.16300140829441223</v>
      </c>
      <c r="J50" s="18">
        <f>(MIN(J$43,J34+((($C$42-1)/$C$42)*J$43)+J35+J37-J40+J97))/J40</f>
        <v>-0.15897075548295869</v>
      </c>
      <c r="K50" s="18">
        <f t="shared" ref="K50:AB50" si="36">(MIN(K$43,K34+((($C$42-1)/$C$42)*K$43)+K35+K37-K40+K97))/K40</f>
        <v>-0.1607142593484755</v>
      </c>
      <c r="L50" s="18">
        <f t="shared" si="36"/>
        <v>-0.16025832758409533</v>
      </c>
      <c r="M50" s="18">
        <f t="shared" si="36"/>
        <v>-0.16080331817022545</v>
      </c>
      <c r="N50" s="18">
        <f t="shared" si="36"/>
        <v>-0.15646450647700172</v>
      </c>
      <c r="O50" s="18">
        <f t="shared" si="36"/>
        <v>-0.15646450647700172</v>
      </c>
      <c r="P50" s="18">
        <f t="shared" si="36"/>
        <v>-0.15646450647700338</v>
      </c>
      <c r="Q50" s="18">
        <f t="shared" si="36"/>
        <v>-0.15646450647700338</v>
      </c>
      <c r="R50" s="18">
        <f t="shared" si="36"/>
        <v>-0.15646450647700338</v>
      </c>
      <c r="S50" s="18">
        <f t="shared" si="36"/>
        <v>-0.15646450647700338</v>
      </c>
      <c r="T50" s="18">
        <f t="shared" si="36"/>
        <v>-0.15646450647700338</v>
      </c>
      <c r="U50" s="18">
        <f t="shared" si="36"/>
        <v>-0.15646450647700338</v>
      </c>
      <c r="V50" s="18">
        <f t="shared" si="36"/>
        <v>-0.15646450647700338</v>
      </c>
      <c r="W50" s="18">
        <f t="shared" si="36"/>
        <v>-0.15646450647700338</v>
      </c>
      <c r="X50" s="18">
        <f t="shared" si="36"/>
        <v>-0.15646450647700338</v>
      </c>
      <c r="Y50" s="18">
        <f t="shared" si="36"/>
        <v>-0.15646450647700338</v>
      </c>
      <c r="Z50" s="18">
        <f t="shared" si="36"/>
        <v>-0.15646450647700338</v>
      </c>
      <c r="AA50" s="18">
        <f t="shared" si="36"/>
        <v>-0.15646450647700338</v>
      </c>
      <c r="AB50" s="18">
        <f t="shared" si="36"/>
        <v>-0.15646450647700338</v>
      </c>
    </row>
    <row r="51" spans="1:28" s="17" customFormat="1">
      <c r="A51" s="258"/>
      <c r="B51" s="19" t="s">
        <v>14</v>
      </c>
      <c r="C51" s="19"/>
      <c r="D51" s="20"/>
      <c r="E51" s="20"/>
      <c r="F51" s="20"/>
      <c r="G51" s="20"/>
      <c r="H51" s="18">
        <f>(MIN(H$43,H34+((($C$42-1)/$C$42)*H$42)+H35+H38-H41+H89))/H41</f>
        <v>0.22946571508376731</v>
      </c>
      <c r="I51" s="18">
        <f>(MIN(I$43,I34+((($C$42-1)/$C$42)*I$42)+I35+I38-I41+I89))/I41</f>
        <v>-3.2212395719376258E-2</v>
      </c>
      <c r="J51" s="18">
        <f t="shared" ref="J51:AB51" si="37">(MIN(J$43,J34+((($C$42-1)/$C$42)*J$42)+J35+J38-J41+J89))/J41</f>
        <v>-3.0045346666104204E-2</v>
      </c>
      <c r="K51" s="18">
        <f t="shared" si="37"/>
        <v>-3.0822887112043694E-2</v>
      </c>
      <c r="L51" s="18">
        <f t="shared" si="37"/>
        <v>-3.4655876157427795E-2</v>
      </c>
      <c r="M51" s="18">
        <f t="shared" si="37"/>
        <v>-3.6489221601631448E-2</v>
      </c>
      <c r="N51" s="18">
        <f t="shared" si="37"/>
        <v>-3.6489221601631448E-2</v>
      </c>
      <c r="O51" s="18">
        <f t="shared" si="37"/>
        <v>-3.6489221601631448E-2</v>
      </c>
      <c r="P51" s="18">
        <f t="shared" si="37"/>
        <v>-3.6489221601631643E-2</v>
      </c>
      <c r="Q51" s="18">
        <f t="shared" si="37"/>
        <v>-3.6489221601631643E-2</v>
      </c>
      <c r="R51" s="18">
        <f t="shared" si="37"/>
        <v>-3.6489221601631643E-2</v>
      </c>
      <c r="S51" s="18">
        <f t="shared" si="37"/>
        <v>-3.6489221601631643E-2</v>
      </c>
      <c r="T51" s="18">
        <f t="shared" si="37"/>
        <v>-3.6489221601631643E-2</v>
      </c>
      <c r="U51" s="18">
        <f t="shared" si="37"/>
        <v>-3.6489221601631643E-2</v>
      </c>
      <c r="V51" s="18">
        <f t="shared" si="37"/>
        <v>-3.6489221601631643E-2</v>
      </c>
      <c r="W51" s="18">
        <f t="shared" si="37"/>
        <v>-3.6489221601631643E-2</v>
      </c>
      <c r="X51" s="18">
        <f t="shared" si="37"/>
        <v>-3.6489221601631643E-2</v>
      </c>
      <c r="Y51" s="18">
        <f t="shared" si="37"/>
        <v>-3.6489221601631643E-2</v>
      </c>
      <c r="Z51" s="18">
        <f t="shared" si="37"/>
        <v>-3.6489221601631643E-2</v>
      </c>
      <c r="AA51" s="18">
        <f t="shared" si="37"/>
        <v>-3.6489221601631643E-2</v>
      </c>
      <c r="AB51" s="18">
        <f t="shared" si="37"/>
        <v>-3.6489221601631643E-2</v>
      </c>
    </row>
    <row r="52" spans="1:28" s="49" customFormat="1">
      <c r="A52" s="253" t="s">
        <v>182</v>
      </c>
      <c r="B52" s="47" t="s">
        <v>3</v>
      </c>
      <c r="C52" s="13"/>
      <c r="D52" s="48">
        <v>0</v>
      </c>
      <c r="E52" s="48">
        <f>D52</f>
        <v>0</v>
      </c>
      <c r="F52" s="48">
        <f t="shared" ref="F52:AB52" si="38">E52</f>
        <v>0</v>
      </c>
      <c r="G52" s="48">
        <f t="shared" si="38"/>
        <v>0</v>
      </c>
      <c r="H52" s="48">
        <f t="shared" si="38"/>
        <v>0</v>
      </c>
      <c r="I52" s="48">
        <f t="shared" si="38"/>
        <v>0</v>
      </c>
      <c r="J52" s="48">
        <f t="shared" si="38"/>
        <v>0</v>
      </c>
      <c r="K52" s="48">
        <f t="shared" si="38"/>
        <v>0</v>
      </c>
      <c r="L52" s="48">
        <f t="shared" si="38"/>
        <v>0</v>
      </c>
      <c r="M52" s="48">
        <f t="shared" si="38"/>
        <v>0</v>
      </c>
      <c r="N52" s="48">
        <f t="shared" si="38"/>
        <v>0</v>
      </c>
      <c r="O52" s="48">
        <f t="shared" si="38"/>
        <v>0</v>
      </c>
      <c r="P52" s="48">
        <f t="shared" si="38"/>
        <v>0</v>
      </c>
      <c r="Q52" s="48">
        <f t="shared" si="38"/>
        <v>0</v>
      </c>
      <c r="R52" s="48">
        <f t="shared" si="38"/>
        <v>0</v>
      </c>
      <c r="S52" s="48">
        <f t="shared" si="38"/>
        <v>0</v>
      </c>
      <c r="T52" s="48">
        <f t="shared" si="38"/>
        <v>0</v>
      </c>
      <c r="U52" s="48">
        <f t="shared" si="38"/>
        <v>0</v>
      </c>
      <c r="V52" s="48">
        <f t="shared" si="38"/>
        <v>0</v>
      </c>
      <c r="W52" s="48">
        <f t="shared" si="38"/>
        <v>0</v>
      </c>
      <c r="X52" s="48">
        <f t="shared" si="38"/>
        <v>0</v>
      </c>
      <c r="Y52" s="48">
        <f t="shared" si="38"/>
        <v>0</v>
      </c>
      <c r="Z52" s="48">
        <f t="shared" si="38"/>
        <v>0</v>
      </c>
      <c r="AA52" s="48">
        <f t="shared" si="38"/>
        <v>0</v>
      </c>
      <c r="AB52" s="48">
        <f t="shared" si="38"/>
        <v>0</v>
      </c>
    </row>
    <row r="53" spans="1:28" s="49" customFormat="1">
      <c r="A53" s="254"/>
      <c r="B53" s="47" t="s">
        <v>4</v>
      </c>
      <c r="C53" s="13"/>
      <c r="D53" s="48">
        <v>110</v>
      </c>
      <c r="E53" s="48">
        <f>D53</f>
        <v>110</v>
      </c>
      <c r="F53" s="48">
        <f t="shared" ref="F53:AB53" si="39">E53</f>
        <v>110</v>
      </c>
      <c r="G53" s="48">
        <f t="shared" si="39"/>
        <v>110</v>
      </c>
      <c r="H53" s="48">
        <f t="shared" si="39"/>
        <v>110</v>
      </c>
      <c r="I53" s="48">
        <f t="shared" si="39"/>
        <v>110</v>
      </c>
      <c r="J53" s="48">
        <f t="shared" si="39"/>
        <v>110</v>
      </c>
      <c r="K53" s="48">
        <f t="shared" si="39"/>
        <v>110</v>
      </c>
      <c r="L53" s="48">
        <f t="shared" si="39"/>
        <v>110</v>
      </c>
      <c r="M53" s="48">
        <f t="shared" si="39"/>
        <v>110</v>
      </c>
      <c r="N53" s="48">
        <f t="shared" si="39"/>
        <v>110</v>
      </c>
      <c r="O53" s="48">
        <f t="shared" si="39"/>
        <v>110</v>
      </c>
      <c r="P53" s="48">
        <f t="shared" si="39"/>
        <v>110</v>
      </c>
      <c r="Q53" s="48">
        <f t="shared" si="39"/>
        <v>110</v>
      </c>
      <c r="R53" s="48">
        <f t="shared" si="39"/>
        <v>110</v>
      </c>
      <c r="S53" s="48">
        <f t="shared" si="39"/>
        <v>110</v>
      </c>
      <c r="T53" s="48">
        <f t="shared" si="39"/>
        <v>110</v>
      </c>
      <c r="U53" s="48">
        <f t="shared" si="39"/>
        <v>110</v>
      </c>
      <c r="V53" s="48">
        <f t="shared" si="39"/>
        <v>110</v>
      </c>
      <c r="W53" s="48">
        <f t="shared" si="39"/>
        <v>110</v>
      </c>
      <c r="X53" s="48">
        <f t="shared" si="39"/>
        <v>110</v>
      </c>
      <c r="Y53" s="48">
        <f t="shared" si="39"/>
        <v>110</v>
      </c>
      <c r="Z53" s="48">
        <f t="shared" si="39"/>
        <v>110</v>
      </c>
      <c r="AA53" s="48">
        <f t="shared" si="39"/>
        <v>110</v>
      </c>
      <c r="AB53" s="48">
        <f t="shared" si="39"/>
        <v>110</v>
      </c>
    </row>
    <row r="54" spans="1:28" s="49" customFormat="1">
      <c r="A54" s="254"/>
      <c r="B54" s="47" t="s">
        <v>5</v>
      </c>
      <c r="C54" s="13"/>
      <c r="D54" s="48">
        <v>0</v>
      </c>
      <c r="E54" s="48">
        <f>D54</f>
        <v>0</v>
      </c>
      <c r="F54" s="48">
        <f t="shared" ref="F54:AB54" si="40">E54</f>
        <v>0</v>
      </c>
      <c r="G54" s="48">
        <f t="shared" si="40"/>
        <v>0</v>
      </c>
      <c r="H54" s="48">
        <f t="shared" si="40"/>
        <v>0</v>
      </c>
      <c r="I54" s="48">
        <f t="shared" si="40"/>
        <v>0</v>
      </c>
      <c r="J54" s="48">
        <f t="shared" si="40"/>
        <v>0</v>
      </c>
      <c r="K54" s="48">
        <f t="shared" si="40"/>
        <v>0</v>
      </c>
      <c r="L54" s="48">
        <f t="shared" si="40"/>
        <v>0</v>
      </c>
      <c r="M54" s="48">
        <f t="shared" si="40"/>
        <v>0</v>
      </c>
      <c r="N54" s="48">
        <f t="shared" si="40"/>
        <v>0</v>
      </c>
      <c r="O54" s="48">
        <f t="shared" si="40"/>
        <v>0</v>
      </c>
      <c r="P54" s="48">
        <f t="shared" si="40"/>
        <v>0</v>
      </c>
      <c r="Q54" s="48">
        <f t="shared" si="40"/>
        <v>0</v>
      </c>
      <c r="R54" s="48">
        <f t="shared" si="40"/>
        <v>0</v>
      </c>
      <c r="S54" s="48">
        <f t="shared" si="40"/>
        <v>0</v>
      </c>
      <c r="T54" s="48">
        <f t="shared" si="40"/>
        <v>0</v>
      </c>
      <c r="U54" s="48">
        <f t="shared" si="40"/>
        <v>0</v>
      </c>
      <c r="V54" s="48">
        <f t="shared" si="40"/>
        <v>0</v>
      </c>
      <c r="W54" s="48">
        <f t="shared" si="40"/>
        <v>0</v>
      </c>
      <c r="X54" s="48">
        <f t="shared" si="40"/>
        <v>0</v>
      </c>
      <c r="Y54" s="48">
        <f t="shared" si="40"/>
        <v>0</v>
      </c>
      <c r="Z54" s="48">
        <f t="shared" si="40"/>
        <v>0</v>
      </c>
      <c r="AA54" s="48">
        <f t="shared" si="40"/>
        <v>0</v>
      </c>
      <c r="AB54" s="48">
        <f t="shared" si="40"/>
        <v>0</v>
      </c>
    </row>
    <row r="55" spans="1:28" s="49" customFormat="1">
      <c r="A55" s="254"/>
      <c r="B55" s="47" t="s">
        <v>7</v>
      </c>
      <c r="C55" s="13"/>
      <c r="D55" s="48">
        <f>D54</f>
        <v>0</v>
      </c>
      <c r="E55" s="48">
        <f t="shared" ref="E55:AB56" si="41">E54</f>
        <v>0</v>
      </c>
      <c r="F55" s="48">
        <f t="shared" si="41"/>
        <v>0</v>
      </c>
      <c r="G55" s="48">
        <f t="shared" si="41"/>
        <v>0</v>
      </c>
      <c r="H55" s="48">
        <f t="shared" si="41"/>
        <v>0</v>
      </c>
      <c r="I55" s="48">
        <f t="shared" si="41"/>
        <v>0</v>
      </c>
      <c r="J55" s="48">
        <f t="shared" si="41"/>
        <v>0</v>
      </c>
      <c r="K55" s="48">
        <f t="shared" si="41"/>
        <v>0</v>
      </c>
      <c r="L55" s="48">
        <f t="shared" si="41"/>
        <v>0</v>
      </c>
      <c r="M55" s="48">
        <f t="shared" si="41"/>
        <v>0</v>
      </c>
      <c r="N55" s="48">
        <f t="shared" si="41"/>
        <v>0</v>
      </c>
      <c r="O55" s="48">
        <f t="shared" si="41"/>
        <v>0</v>
      </c>
      <c r="P55" s="48">
        <f t="shared" si="41"/>
        <v>0</v>
      </c>
      <c r="Q55" s="48">
        <f t="shared" si="41"/>
        <v>0</v>
      </c>
      <c r="R55" s="48">
        <f t="shared" si="41"/>
        <v>0</v>
      </c>
      <c r="S55" s="48">
        <f t="shared" si="41"/>
        <v>0</v>
      </c>
      <c r="T55" s="48">
        <f t="shared" si="41"/>
        <v>0</v>
      </c>
      <c r="U55" s="48">
        <f t="shared" si="41"/>
        <v>0</v>
      </c>
      <c r="V55" s="48">
        <f t="shared" si="41"/>
        <v>0</v>
      </c>
      <c r="W55" s="48">
        <f t="shared" si="41"/>
        <v>0</v>
      </c>
      <c r="X55" s="48">
        <f t="shared" si="41"/>
        <v>0</v>
      </c>
      <c r="Y55" s="48">
        <f t="shared" si="41"/>
        <v>0</v>
      </c>
      <c r="Z55" s="48">
        <f t="shared" si="41"/>
        <v>0</v>
      </c>
      <c r="AA55" s="48">
        <f t="shared" si="41"/>
        <v>0</v>
      </c>
      <c r="AB55" s="48">
        <f t="shared" si="41"/>
        <v>0</v>
      </c>
    </row>
    <row r="56" spans="1:28" s="49" customFormat="1">
      <c r="A56" s="254"/>
      <c r="B56" s="47" t="s">
        <v>8</v>
      </c>
      <c r="C56" s="13"/>
      <c r="D56" s="48">
        <f>D55</f>
        <v>0</v>
      </c>
      <c r="E56" s="48">
        <f t="shared" si="41"/>
        <v>0</v>
      </c>
      <c r="F56" s="48">
        <f t="shared" si="41"/>
        <v>0</v>
      </c>
      <c r="G56" s="48">
        <f t="shared" si="41"/>
        <v>0</v>
      </c>
      <c r="H56" s="48">
        <f t="shared" si="41"/>
        <v>0</v>
      </c>
      <c r="I56" s="48">
        <f t="shared" si="41"/>
        <v>0</v>
      </c>
      <c r="J56" s="48">
        <f t="shared" si="41"/>
        <v>0</v>
      </c>
      <c r="K56" s="48">
        <f t="shared" si="41"/>
        <v>0</v>
      </c>
      <c r="L56" s="48">
        <f t="shared" si="41"/>
        <v>0</v>
      </c>
      <c r="M56" s="48">
        <f t="shared" si="41"/>
        <v>0</v>
      </c>
      <c r="N56" s="48">
        <f t="shared" si="41"/>
        <v>0</v>
      </c>
      <c r="O56" s="48">
        <f t="shared" si="41"/>
        <v>0</v>
      </c>
      <c r="P56" s="48">
        <f t="shared" si="41"/>
        <v>0</v>
      </c>
      <c r="Q56" s="48">
        <f t="shared" si="41"/>
        <v>0</v>
      </c>
      <c r="R56" s="48">
        <f t="shared" si="41"/>
        <v>0</v>
      </c>
      <c r="S56" s="48">
        <f t="shared" si="41"/>
        <v>0</v>
      </c>
      <c r="T56" s="48">
        <f t="shared" si="41"/>
        <v>0</v>
      </c>
      <c r="U56" s="48">
        <f t="shared" si="41"/>
        <v>0</v>
      </c>
      <c r="V56" s="48">
        <f t="shared" si="41"/>
        <v>0</v>
      </c>
      <c r="W56" s="48">
        <f t="shared" si="41"/>
        <v>0</v>
      </c>
      <c r="X56" s="48">
        <f t="shared" si="41"/>
        <v>0</v>
      </c>
      <c r="Y56" s="48">
        <f t="shared" si="41"/>
        <v>0</v>
      </c>
      <c r="Z56" s="48">
        <f t="shared" si="41"/>
        <v>0</v>
      </c>
      <c r="AA56" s="48">
        <f t="shared" si="41"/>
        <v>0</v>
      </c>
      <c r="AB56" s="48">
        <f t="shared" si="41"/>
        <v>0</v>
      </c>
    </row>
    <row r="57" spans="1:28" s="49" customFormat="1">
      <c r="A57" s="254"/>
      <c r="B57" s="47" t="s">
        <v>6</v>
      </c>
      <c r="C57" s="13"/>
      <c r="D57" s="48">
        <v>120</v>
      </c>
      <c r="E57" s="48">
        <v>120</v>
      </c>
      <c r="F57" s="48">
        <v>125</v>
      </c>
      <c r="G57" s="48">
        <v>130</v>
      </c>
      <c r="H57" s="48">
        <v>150</v>
      </c>
      <c r="I57" s="48">
        <f>H57</f>
        <v>150</v>
      </c>
      <c r="J57" s="48">
        <v>150</v>
      </c>
      <c r="K57" s="48">
        <v>155</v>
      </c>
      <c r="L57" s="48">
        <v>155</v>
      </c>
      <c r="M57" s="48">
        <v>160</v>
      </c>
      <c r="N57" s="48">
        <v>160</v>
      </c>
      <c r="O57" s="48">
        <f>N57</f>
        <v>160</v>
      </c>
      <c r="P57" s="48">
        <f t="shared" ref="P57:AB58" si="42">O57</f>
        <v>160</v>
      </c>
      <c r="Q57" s="48">
        <f t="shared" si="42"/>
        <v>160</v>
      </c>
      <c r="R57" s="48">
        <f t="shared" si="42"/>
        <v>160</v>
      </c>
      <c r="S57" s="48">
        <f t="shared" si="42"/>
        <v>160</v>
      </c>
      <c r="T57" s="48">
        <f t="shared" si="42"/>
        <v>160</v>
      </c>
      <c r="U57" s="48">
        <f t="shared" si="42"/>
        <v>160</v>
      </c>
      <c r="V57" s="48">
        <f t="shared" si="42"/>
        <v>160</v>
      </c>
      <c r="W57" s="48">
        <f t="shared" si="42"/>
        <v>160</v>
      </c>
      <c r="X57" s="48">
        <f t="shared" si="42"/>
        <v>160</v>
      </c>
      <c r="Y57" s="48">
        <f t="shared" si="42"/>
        <v>160</v>
      </c>
      <c r="Z57" s="48">
        <f t="shared" si="42"/>
        <v>160</v>
      </c>
      <c r="AA57" s="48">
        <f t="shared" si="42"/>
        <v>160</v>
      </c>
      <c r="AB57" s="48">
        <f t="shared" si="42"/>
        <v>160</v>
      </c>
    </row>
    <row r="58" spans="1:28" s="49" customFormat="1">
      <c r="A58" s="254"/>
      <c r="B58" s="47" t="s">
        <v>9</v>
      </c>
      <c r="C58" s="13"/>
      <c r="D58" s="48">
        <v>160</v>
      </c>
      <c r="E58" s="48">
        <v>140</v>
      </c>
      <c r="F58" s="48">
        <v>150</v>
      </c>
      <c r="G58" s="48">
        <v>160</v>
      </c>
      <c r="H58" s="48">
        <v>210</v>
      </c>
      <c r="I58" s="48">
        <f>H58</f>
        <v>210</v>
      </c>
      <c r="J58" s="48">
        <f t="shared" ref="J58:O58" si="43">I58</f>
        <v>210</v>
      </c>
      <c r="K58" s="48">
        <f t="shared" si="43"/>
        <v>210</v>
      </c>
      <c r="L58" s="48">
        <f t="shared" si="43"/>
        <v>210</v>
      </c>
      <c r="M58" s="48">
        <f t="shared" si="43"/>
        <v>210</v>
      </c>
      <c r="N58" s="48">
        <f t="shared" si="43"/>
        <v>210</v>
      </c>
      <c r="O58" s="48">
        <f t="shared" si="43"/>
        <v>210</v>
      </c>
      <c r="P58" s="48">
        <f t="shared" si="42"/>
        <v>210</v>
      </c>
      <c r="Q58" s="48">
        <f t="shared" si="42"/>
        <v>210</v>
      </c>
      <c r="R58" s="48">
        <f t="shared" si="42"/>
        <v>210</v>
      </c>
      <c r="S58" s="48">
        <f t="shared" si="42"/>
        <v>210</v>
      </c>
      <c r="T58" s="48">
        <f t="shared" si="42"/>
        <v>210</v>
      </c>
      <c r="U58" s="48">
        <f t="shared" si="42"/>
        <v>210</v>
      </c>
      <c r="V58" s="48">
        <f t="shared" si="42"/>
        <v>210</v>
      </c>
      <c r="W58" s="48">
        <f t="shared" si="42"/>
        <v>210</v>
      </c>
      <c r="X58" s="48">
        <f t="shared" si="42"/>
        <v>210</v>
      </c>
      <c r="Y58" s="48">
        <f t="shared" si="42"/>
        <v>210</v>
      </c>
      <c r="Z58" s="48">
        <f t="shared" si="42"/>
        <v>210</v>
      </c>
      <c r="AA58" s="48">
        <f t="shared" si="42"/>
        <v>210</v>
      </c>
      <c r="AB58" s="48">
        <f t="shared" si="42"/>
        <v>210</v>
      </c>
    </row>
    <row r="59" spans="1:28" s="49" customFormat="1">
      <c r="A59" s="254"/>
      <c r="B59" s="47" t="s">
        <v>10</v>
      </c>
      <c r="C59" s="13"/>
      <c r="D59" s="48">
        <v>240</v>
      </c>
      <c r="E59" s="48">
        <v>250</v>
      </c>
      <c r="F59" s="48">
        <v>260</v>
      </c>
      <c r="G59" s="48">
        <v>270</v>
      </c>
      <c r="H59" s="48">
        <v>310</v>
      </c>
      <c r="I59" s="48">
        <v>310</v>
      </c>
      <c r="J59" s="48">
        <v>310</v>
      </c>
      <c r="K59" s="48">
        <v>310</v>
      </c>
      <c r="L59" s="48">
        <v>310</v>
      </c>
      <c r="M59" s="48">
        <v>310</v>
      </c>
      <c r="N59" s="48">
        <v>310</v>
      </c>
      <c r="O59" s="48">
        <v>310</v>
      </c>
      <c r="P59" s="48">
        <v>310</v>
      </c>
      <c r="Q59" s="48">
        <v>310</v>
      </c>
      <c r="R59" s="48">
        <v>310</v>
      </c>
      <c r="S59" s="48">
        <v>310</v>
      </c>
      <c r="T59" s="48">
        <v>310</v>
      </c>
      <c r="U59" s="48">
        <v>310</v>
      </c>
      <c r="V59" s="48">
        <v>310</v>
      </c>
      <c r="W59" s="48">
        <v>310</v>
      </c>
      <c r="X59" s="48">
        <v>310</v>
      </c>
      <c r="Y59" s="48">
        <v>310</v>
      </c>
      <c r="Z59" s="48">
        <v>310</v>
      </c>
      <c r="AA59" s="48">
        <v>310</v>
      </c>
      <c r="AB59" s="48">
        <v>310</v>
      </c>
    </row>
    <row r="60" spans="1:28" s="49" customFormat="1">
      <c r="A60" s="254"/>
      <c r="B60" s="47" t="s">
        <v>1</v>
      </c>
      <c r="C60" s="13">
        <v>2</v>
      </c>
      <c r="D60" s="13">
        <f>'IP points '!E27</f>
        <v>190</v>
      </c>
      <c r="E60" s="13">
        <f>'IP points '!F27</f>
        <v>190</v>
      </c>
      <c r="F60" s="13">
        <f>'IP points '!G27</f>
        <v>190</v>
      </c>
      <c r="G60" s="13">
        <f>'IP points '!H27</f>
        <v>190</v>
      </c>
      <c r="H60" s="13">
        <f>'IP points '!I27</f>
        <v>190</v>
      </c>
      <c r="I60" s="13">
        <f>'IP points '!J27</f>
        <v>190</v>
      </c>
      <c r="J60" s="13">
        <f>'IP points '!K27</f>
        <v>190</v>
      </c>
      <c r="K60" s="13">
        <f>'IP points '!L27</f>
        <v>190</v>
      </c>
      <c r="L60" s="13">
        <f>K60</f>
        <v>190</v>
      </c>
      <c r="M60" s="13">
        <f t="shared" ref="M60:AB60" si="44">L60</f>
        <v>190</v>
      </c>
      <c r="N60" s="13">
        <f t="shared" si="44"/>
        <v>190</v>
      </c>
      <c r="O60" s="13">
        <f t="shared" si="44"/>
        <v>190</v>
      </c>
      <c r="P60" s="13">
        <f t="shared" si="44"/>
        <v>190</v>
      </c>
      <c r="Q60" s="13">
        <f t="shared" si="44"/>
        <v>190</v>
      </c>
      <c r="R60" s="13">
        <f t="shared" si="44"/>
        <v>190</v>
      </c>
      <c r="S60" s="13">
        <f t="shared" si="44"/>
        <v>190</v>
      </c>
      <c r="T60" s="13">
        <f t="shared" si="44"/>
        <v>190</v>
      </c>
      <c r="U60" s="13">
        <f t="shared" si="44"/>
        <v>190</v>
      </c>
      <c r="V60" s="13">
        <f t="shared" si="44"/>
        <v>190</v>
      </c>
      <c r="W60" s="13">
        <f t="shared" si="44"/>
        <v>190</v>
      </c>
      <c r="X60" s="13">
        <f t="shared" si="44"/>
        <v>190</v>
      </c>
      <c r="Y60" s="13">
        <f t="shared" si="44"/>
        <v>190</v>
      </c>
      <c r="Z60" s="13">
        <f t="shared" si="44"/>
        <v>190</v>
      </c>
      <c r="AA60" s="13">
        <f t="shared" si="44"/>
        <v>190</v>
      </c>
      <c r="AB60" s="13">
        <f t="shared" si="44"/>
        <v>190</v>
      </c>
    </row>
    <row r="61" spans="1:28" s="49" customFormat="1">
      <c r="A61" s="254"/>
      <c r="B61" s="47" t="s">
        <v>24</v>
      </c>
      <c r="C61" s="13"/>
      <c r="D61" s="48">
        <f>'IP points '!E28</f>
        <v>100</v>
      </c>
      <c r="E61" s="48">
        <f>'IP points '!F28</f>
        <v>100</v>
      </c>
      <c r="F61" s="48">
        <f>'IP points '!G28</f>
        <v>100</v>
      </c>
      <c r="G61" s="48">
        <f>'IP points '!H28</f>
        <v>100</v>
      </c>
      <c r="H61" s="48">
        <f>'IP points '!I28</f>
        <v>100</v>
      </c>
      <c r="I61" s="48">
        <f>'IP points '!J28</f>
        <v>100</v>
      </c>
      <c r="J61" s="48">
        <f>'IP points '!K28</f>
        <v>100</v>
      </c>
      <c r="K61" s="48">
        <f>'IP points '!L28</f>
        <v>100</v>
      </c>
      <c r="L61" s="48">
        <f>K61</f>
        <v>100</v>
      </c>
      <c r="M61" s="48">
        <f t="shared" ref="M61:AB61" si="45">L61</f>
        <v>100</v>
      </c>
      <c r="N61" s="48">
        <f t="shared" si="45"/>
        <v>100</v>
      </c>
      <c r="O61" s="48">
        <f t="shared" si="45"/>
        <v>100</v>
      </c>
      <c r="P61" s="48">
        <f t="shared" si="45"/>
        <v>100</v>
      </c>
      <c r="Q61" s="48">
        <f t="shared" si="45"/>
        <v>100</v>
      </c>
      <c r="R61" s="48">
        <f t="shared" si="45"/>
        <v>100</v>
      </c>
      <c r="S61" s="48">
        <f t="shared" si="45"/>
        <v>100</v>
      </c>
      <c r="T61" s="48">
        <f t="shared" si="45"/>
        <v>100</v>
      </c>
      <c r="U61" s="48">
        <f t="shared" si="45"/>
        <v>100</v>
      </c>
      <c r="V61" s="48">
        <f t="shared" si="45"/>
        <v>100</v>
      </c>
      <c r="W61" s="48">
        <f t="shared" si="45"/>
        <v>100</v>
      </c>
      <c r="X61" s="48">
        <f t="shared" si="45"/>
        <v>100</v>
      </c>
      <c r="Y61" s="48">
        <f t="shared" si="45"/>
        <v>100</v>
      </c>
      <c r="Z61" s="48">
        <f t="shared" si="45"/>
        <v>100</v>
      </c>
      <c r="AA61" s="48">
        <f t="shared" si="45"/>
        <v>100</v>
      </c>
      <c r="AB61" s="48">
        <f t="shared" si="45"/>
        <v>100</v>
      </c>
    </row>
    <row r="62" spans="1:28" s="49" customFormat="1">
      <c r="A62" s="254"/>
      <c r="B62" s="50" t="s">
        <v>22</v>
      </c>
      <c r="C62" s="271"/>
      <c r="D62" s="272"/>
      <c r="E62" s="272"/>
      <c r="F62" s="272"/>
      <c r="G62" s="273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</row>
    <row r="63" spans="1:28" s="49" customFormat="1">
      <c r="A63" s="254"/>
      <c r="B63" s="47" t="s">
        <v>12</v>
      </c>
      <c r="C63" s="262"/>
      <c r="D63" s="263"/>
      <c r="E63" s="263"/>
      <c r="F63" s="263"/>
      <c r="G63" s="264"/>
      <c r="H63" s="51">
        <f>(MIN(H$61,H52+((($C$60-1)/$C$60)*H$60)+H53-H55-H57))/H57</f>
        <v>0.36666666666666664</v>
      </c>
      <c r="I63" s="51">
        <f t="shared" ref="I63:AB63" si="46">(MIN(I$61,I52+((($C$60-1)/$C$60)*I$60)+I53-I55-I57))/I57</f>
        <v>0.36666666666666664</v>
      </c>
      <c r="J63" s="51">
        <f t="shared" si="46"/>
        <v>0.36666666666666664</v>
      </c>
      <c r="K63" s="51">
        <f t="shared" si="46"/>
        <v>0.32258064516129031</v>
      </c>
      <c r="L63" s="51">
        <f t="shared" si="46"/>
        <v>0.32258064516129031</v>
      </c>
      <c r="M63" s="51">
        <f t="shared" si="46"/>
        <v>0.28125</v>
      </c>
      <c r="N63" s="51">
        <f t="shared" si="46"/>
        <v>0.28125</v>
      </c>
      <c r="O63" s="51">
        <f t="shared" si="46"/>
        <v>0.28125</v>
      </c>
      <c r="P63" s="51">
        <f t="shared" si="46"/>
        <v>0.28125</v>
      </c>
      <c r="Q63" s="51">
        <f t="shared" si="46"/>
        <v>0.28125</v>
      </c>
      <c r="R63" s="51">
        <f t="shared" si="46"/>
        <v>0.28125</v>
      </c>
      <c r="S63" s="51">
        <f t="shared" si="46"/>
        <v>0.28125</v>
      </c>
      <c r="T63" s="51">
        <f t="shared" si="46"/>
        <v>0.28125</v>
      </c>
      <c r="U63" s="51">
        <f t="shared" si="46"/>
        <v>0.28125</v>
      </c>
      <c r="V63" s="51">
        <f t="shared" si="46"/>
        <v>0.28125</v>
      </c>
      <c r="W63" s="51">
        <f t="shared" si="46"/>
        <v>0.28125</v>
      </c>
      <c r="X63" s="51">
        <f t="shared" si="46"/>
        <v>0.28125</v>
      </c>
      <c r="Y63" s="51">
        <f t="shared" si="46"/>
        <v>0.28125</v>
      </c>
      <c r="Z63" s="51">
        <f t="shared" si="46"/>
        <v>0.28125</v>
      </c>
      <c r="AA63" s="51">
        <f t="shared" si="46"/>
        <v>0.28125</v>
      </c>
      <c r="AB63" s="51">
        <f t="shared" si="46"/>
        <v>0.28125</v>
      </c>
    </row>
    <row r="64" spans="1:28" s="49" customFormat="1">
      <c r="A64" s="254"/>
      <c r="B64" s="47" t="s">
        <v>25</v>
      </c>
      <c r="C64" s="265"/>
      <c r="D64" s="266"/>
      <c r="E64" s="266"/>
      <c r="F64" s="266"/>
      <c r="G64" s="267"/>
      <c r="H64" s="51">
        <f>(MIN(H$61,H52+((($C$60-1)/$C$60)*H$60)+H53+H55-H58))/H58</f>
        <v>-2.3809523809523808E-2</v>
      </c>
      <c r="I64" s="51">
        <f t="shared" ref="I64:AB64" si="47">(MIN(I$61,I52+((($C$60-1)/$C$60)*I$60)+I53+I55-I58))/I58</f>
        <v>-2.3809523809523808E-2</v>
      </c>
      <c r="J64" s="51">
        <f t="shared" si="47"/>
        <v>-2.3809523809523808E-2</v>
      </c>
      <c r="K64" s="51">
        <f t="shared" si="47"/>
        <v>-2.3809523809523808E-2</v>
      </c>
      <c r="L64" s="51">
        <f t="shared" si="47"/>
        <v>-2.3809523809523808E-2</v>
      </c>
      <c r="M64" s="51">
        <f t="shared" si="47"/>
        <v>-2.3809523809523808E-2</v>
      </c>
      <c r="N64" s="51">
        <f t="shared" si="47"/>
        <v>-2.3809523809523808E-2</v>
      </c>
      <c r="O64" s="51">
        <f t="shared" si="47"/>
        <v>-2.3809523809523808E-2</v>
      </c>
      <c r="P64" s="51">
        <f t="shared" si="47"/>
        <v>-2.3809523809523808E-2</v>
      </c>
      <c r="Q64" s="51">
        <f t="shared" si="47"/>
        <v>-2.3809523809523808E-2</v>
      </c>
      <c r="R64" s="51">
        <f t="shared" si="47"/>
        <v>-2.3809523809523808E-2</v>
      </c>
      <c r="S64" s="51">
        <f t="shared" si="47"/>
        <v>-2.3809523809523808E-2</v>
      </c>
      <c r="T64" s="51">
        <f t="shared" si="47"/>
        <v>-2.3809523809523808E-2</v>
      </c>
      <c r="U64" s="51">
        <f t="shared" si="47"/>
        <v>-2.3809523809523808E-2</v>
      </c>
      <c r="V64" s="51">
        <f t="shared" si="47"/>
        <v>-2.3809523809523808E-2</v>
      </c>
      <c r="W64" s="51">
        <f t="shared" si="47"/>
        <v>-2.3809523809523808E-2</v>
      </c>
      <c r="X64" s="51">
        <f t="shared" si="47"/>
        <v>-2.3809523809523808E-2</v>
      </c>
      <c r="Y64" s="51">
        <f t="shared" si="47"/>
        <v>-2.3809523809523808E-2</v>
      </c>
      <c r="Z64" s="51">
        <f t="shared" si="47"/>
        <v>-2.3809523809523808E-2</v>
      </c>
      <c r="AA64" s="51">
        <f t="shared" si="47"/>
        <v>-2.3809523809523808E-2</v>
      </c>
      <c r="AB64" s="51">
        <f t="shared" si="47"/>
        <v>-2.3809523809523808E-2</v>
      </c>
    </row>
    <row r="65" spans="1:29" s="49" customFormat="1">
      <c r="A65" s="254"/>
      <c r="B65" s="52" t="s">
        <v>14</v>
      </c>
      <c r="C65" s="268"/>
      <c r="D65" s="269"/>
      <c r="E65" s="269"/>
      <c r="F65" s="269"/>
      <c r="G65" s="270"/>
      <c r="H65" s="51">
        <f>(MIN(H$61,H52+((($C$60-1)/$C$60)*H$60)+H53+H56-H59))/H59</f>
        <v>-0.33870967741935482</v>
      </c>
      <c r="I65" s="51">
        <f t="shared" ref="I65:AB65" si="48">(MIN(I$61,I52+((($C$60-1)/$C$60)*I$60)+I53+I56-I59))/I59</f>
        <v>-0.33870967741935482</v>
      </c>
      <c r="J65" s="51">
        <f t="shared" si="48"/>
        <v>-0.33870967741935482</v>
      </c>
      <c r="K65" s="51">
        <f t="shared" si="48"/>
        <v>-0.33870967741935482</v>
      </c>
      <c r="L65" s="51">
        <f t="shared" si="48"/>
        <v>-0.33870967741935482</v>
      </c>
      <c r="M65" s="51">
        <f t="shared" si="48"/>
        <v>-0.33870967741935482</v>
      </c>
      <c r="N65" s="51">
        <f t="shared" si="48"/>
        <v>-0.33870967741935482</v>
      </c>
      <c r="O65" s="51">
        <f t="shared" si="48"/>
        <v>-0.33870967741935482</v>
      </c>
      <c r="P65" s="51">
        <f t="shared" si="48"/>
        <v>-0.33870967741935482</v>
      </c>
      <c r="Q65" s="51">
        <f t="shared" si="48"/>
        <v>-0.33870967741935482</v>
      </c>
      <c r="R65" s="51">
        <f t="shared" si="48"/>
        <v>-0.33870967741935482</v>
      </c>
      <c r="S65" s="51">
        <f t="shared" si="48"/>
        <v>-0.33870967741935482</v>
      </c>
      <c r="T65" s="51">
        <f t="shared" si="48"/>
        <v>-0.33870967741935482</v>
      </c>
      <c r="U65" s="51">
        <f t="shared" si="48"/>
        <v>-0.33870967741935482</v>
      </c>
      <c r="V65" s="51">
        <f t="shared" si="48"/>
        <v>-0.33870967741935482</v>
      </c>
      <c r="W65" s="51">
        <f t="shared" si="48"/>
        <v>-0.33870967741935482</v>
      </c>
      <c r="X65" s="51">
        <f t="shared" si="48"/>
        <v>-0.33870967741935482</v>
      </c>
      <c r="Y65" s="51">
        <f t="shared" si="48"/>
        <v>-0.33870967741935482</v>
      </c>
      <c r="Z65" s="51">
        <f t="shared" si="48"/>
        <v>-0.33870967741935482</v>
      </c>
      <c r="AA65" s="51">
        <f t="shared" si="48"/>
        <v>-0.33870967741935482</v>
      </c>
      <c r="AB65" s="51">
        <f t="shared" si="48"/>
        <v>-0.33870967741935482</v>
      </c>
    </row>
    <row r="66" spans="1:29" s="49" customFormat="1" ht="15" hidden="1" customHeight="1">
      <c r="A66" s="254"/>
      <c r="B66" s="13" t="s">
        <v>3</v>
      </c>
      <c r="C66" s="13"/>
      <c r="D66" s="48">
        <v>288.82191780821915</v>
      </c>
      <c r="E66" s="48">
        <v>281.34246575342468</v>
      </c>
      <c r="F66" s="48">
        <v>273.86301369863014</v>
      </c>
      <c r="G66" s="48">
        <v>269.54794520547944</v>
      </c>
      <c r="H66" s="48">
        <v>265.23287671232879</v>
      </c>
      <c r="I66" s="48">
        <v>260.34246575342468</v>
      </c>
      <c r="J66" s="48">
        <v>217.76712328767124</v>
      </c>
      <c r="K66" s="48">
        <v>212.30136986301369</v>
      </c>
      <c r="L66" s="48">
        <v>205.10958904109589</v>
      </c>
      <c r="M66" s="48">
        <v>198.20547945205479</v>
      </c>
      <c r="N66" s="48">
        <v>198.20547945205479</v>
      </c>
      <c r="O66" s="13" t="e">
        <f>#REF!/365</f>
        <v>#REF!</v>
      </c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</row>
    <row r="67" spans="1:29" s="49" customFormat="1" ht="15" hidden="1" customHeight="1">
      <c r="A67" s="254"/>
      <c r="B67" s="13" t="s">
        <v>4</v>
      </c>
      <c r="C67" s="13"/>
      <c r="D67" s="48">
        <v>0</v>
      </c>
      <c r="E67" s="48">
        <v>0</v>
      </c>
      <c r="F67" s="48">
        <v>0</v>
      </c>
      <c r="G67" s="48">
        <v>0</v>
      </c>
      <c r="H67" s="48">
        <v>0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13">
        <f t="shared" ref="O67:R67" si="49">N67</f>
        <v>0</v>
      </c>
      <c r="P67" s="13">
        <f t="shared" si="49"/>
        <v>0</v>
      </c>
      <c r="Q67" s="13">
        <f t="shared" si="49"/>
        <v>0</v>
      </c>
      <c r="R67" s="13">
        <f t="shared" si="49"/>
        <v>0</v>
      </c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</row>
    <row r="68" spans="1:29" s="49" customFormat="1" ht="15" hidden="1" customHeight="1">
      <c r="A68" s="254"/>
      <c r="B68" s="13" t="s">
        <v>5</v>
      </c>
      <c r="C68" s="13"/>
      <c r="D68" s="48">
        <v>292</v>
      </c>
      <c r="E68" s="48">
        <v>292</v>
      </c>
      <c r="F68" s="48">
        <v>292</v>
      </c>
      <c r="G68" s="48">
        <v>292</v>
      </c>
      <c r="H68" s="48">
        <v>292</v>
      </c>
      <c r="I68" s="48">
        <v>292</v>
      </c>
      <c r="J68" s="48">
        <v>292</v>
      </c>
      <c r="K68" s="48">
        <v>292</v>
      </c>
      <c r="L68" s="48">
        <v>292</v>
      </c>
      <c r="M68" s="48">
        <v>292</v>
      </c>
      <c r="N68" s="48">
        <v>0</v>
      </c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</row>
    <row r="69" spans="1:29" s="49" customFormat="1" ht="15" hidden="1" customHeight="1">
      <c r="A69" s="254"/>
      <c r="B69" s="13" t="s">
        <v>7</v>
      </c>
      <c r="C69" s="13"/>
      <c r="D69" s="48">
        <v>343</v>
      </c>
      <c r="E69" s="48">
        <v>343</v>
      </c>
      <c r="F69" s="48">
        <v>343</v>
      </c>
      <c r="G69" s="48">
        <v>343</v>
      </c>
      <c r="H69" s="48">
        <v>343</v>
      </c>
      <c r="I69" s="48">
        <v>343</v>
      </c>
      <c r="J69" s="48">
        <v>343</v>
      </c>
      <c r="K69" s="48">
        <v>343</v>
      </c>
      <c r="L69" s="48">
        <v>343</v>
      </c>
      <c r="M69" s="48">
        <v>343</v>
      </c>
      <c r="N69" s="48">
        <v>0</v>
      </c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</row>
    <row r="70" spans="1:29" s="49" customFormat="1" ht="15" hidden="1" customHeight="1">
      <c r="A70" s="254"/>
      <c r="B70" s="13" t="s">
        <v>8</v>
      </c>
      <c r="C70" s="13"/>
      <c r="D70" s="48">
        <v>343</v>
      </c>
      <c r="E70" s="48">
        <v>343</v>
      </c>
      <c r="F70" s="48">
        <v>343</v>
      </c>
      <c r="G70" s="48">
        <v>343</v>
      </c>
      <c r="H70" s="48">
        <v>343</v>
      </c>
      <c r="I70" s="48">
        <v>343</v>
      </c>
      <c r="J70" s="48">
        <v>343</v>
      </c>
      <c r="K70" s="48">
        <v>343</v>
      </c>
      <c r="L70" s="48">
        <v>343</v>
      </c>
      <c r="M70" s="48">
        <v>343</v>
      </c>
      <c r="N70" s="48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</row>
    <row r="71" spans="1:29" s="49" customFormat="1" ht="15" hidden="1" customHeight="1">
      <c r="A71" s="254"/>
      <c r="B71" s="13" t="s">
        <v>6</v>
      </c>
      <c r="C71" s="13"/>
      <c r="D71" s="48">
        <v>246.2876081914039</v>
      </c>
      <c r="E71" s="48">
        <v>246.2876081914039</v>
      </c>
      <c r="F71" s="48">
        <v>246.2876081914039</v>
      </c>
      <c r="G71" s="48">
        <v>246.2876081914039</v>
      </c>
      <c r="H71" s="48">
        <v>246.2876081914039</v>
      </c>
      <c r="I71" s="48">
        <v>246.2876081914039</v>
      </c>
      <c r="J71" s="48">
        <v>246.2876081914039</v>
      </c>
      <c r="K71" s="48">
        <v>246.2876081914039</v>
      </c>
      <c r="L71" s="48">
        <v>246.2876081914039</v>
      </c>
      <c r="M71" s="48">
        <v>246.2876081914039</v>
      </c>
      <c r="N71" s="48">
        <v>246.2876081914039</v>
      </c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</row>
    <row r="72" spans="1:29" s="49" customFormat="1" ht="15" hidden="1" customHeight="1">
      <c r="A72" s="254"/>
      <c r="B72" s="13" t="s">
        <v>9</v>
      </c>
      <c r="C72" s="13"/>
      <c r="D72" s="48">
        <v>543.3724489846195</v>
      </c>
      <c r="E72" s="48">
        <v>543.3724489846195</v>
      </c>
      <c r="F72" s="48">
        <v>543.3724489846195</v>
      </c>
      <c r="G72" s="48">
        <v>543.3724489846195</v>
      </c>
      <c r="H72" s="48">
        <v>543.3724489846195</v>
      </c>
      <c r="I72" s="48">
        <v>543.3724489846195</v>
      </c>
      <c r="J72" s="48">
        <v>543.3724489846195</v>
      </c>
      <c r="K72" s="48">
        <v>543.3724489846195</v>
      </c>
      <c r="L72" s="48">
        <v>543.3724489846195</v>
      </c>
      <c r="M72" s="48">
        <v>543.3724489846195</v>
      </c>
      <c r="N72" s="48">
        <v>543.3724489846195</v>
      </c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</row>
    <row r="73" spans="1:29" s="49" customFormat="1" ht="15" hidden="1" customHeight="1">
      <c r="A73" s="254"/>
      <c r="B73" s="13" t="s">
        <v>10</v>
      </c>
      <c r="C73" s="13"/>
      <c r="D73" s="48">
        <v>756</v>
      </c>
      <c r="E73" s="48">
        <v>756</v>
      </c>
      <c r="F73" s="48">
        <v>756</v>
      </c>
      <c r="G73" s="48">
        <v>756</v>
      </c>
      <c r="H73" s="48">
        <v>756</v>
      </c>
      <c r="I73" s="48">
        <v>756</v>
      </c>
      <c r="J73" s="48">
        <v>756</v>
      </c>
      <c r="K73" s="48">
        <v>756</v>
      </c>
      <c r="L73" s="48">
        <v>756</v>
      </c>
      <c r="M73" s="48">
        <v>756</v>
      </c>
      <c r="N73" s="48">
        <v>756</v>
      </c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</row>
    <row r="74" spans="1:29" s="49" customFormat="1" ht="15" hidden="1" customHeight="1">
      <c r="A74" s="254"/>
      <c r="B74" s="13" t="s">
        <v>1</v>
      </c>
      <c r="C74" s="13">
        <v>3</v>
      </c>
      <c r="D74" s="48">
        <v>1061</v>
      </c>
      <c r="E74" s="48">
        <v>1061</v>
      </c>
      <c r="F74" s="48">
        <v>1061</v>
      </c>
      <c r="G74" s="48">
        <v>1061</v>
      </c>
      <c r="H74" s="48">
        <v>1061</v>
      </c>
      <c r="I74" s="48">
        <v>1061</v>
      </c>
      <c r="J74" s="48">
        <v>1061</v>
      </c>
      <c r="K74" s="48">
        <v>1061</v>
      </c>
      <c r="L74" s="48">
        <v>1061</v>
      </c>
      <c r="M74" s="48">
        <v>1061</v>
      </c>
      <c r="N74" s="48">
        <v>1061</v>
      </c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</row>
    <row r="75" spans="1:29" s="49" customFormat="1" ht="15" hidden="1" customHeight="1">
      <c r="A75" s="254"/>
      <c r="B75" s="13" t="s">
        <v>24</v>
      </c>
      <c r="C75" s="13"/>
      <c r="D75" s="48">
        <v>831</v>
      </c>
      <c r="E75" s="48">
        <v>831</v>
      </c>
      <c r="F75" s="48">
        <v>831</v>
      </c>
      <c r="G75" s="48">
        <v>831</v>
      </c>
      <c r="H75" s="48">
        <v>831</v>
      </c>
      <c r="I75" s="48">
        <v>831</v>
      </c>
      <c r="J75" s="48">
        <v>831</v>
      </c>
      <c r="K75" s="48">
        <v>831</v>
      </c>
      <c r="L75" s="48">
        <v>831</v>
      </c>
      <c r="M75" s="48">
        <v>831</v>
      </c>
      <c r="N75" s="48">
        <v>831</v>
      </c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</row>
    <row r="76" spans="1:29" s="49" customFormat="1" ht="15" hidden="1" customHeight="1">
      <c r="A76" s="254"/>
      <c r="B76" s="13" t="s">
        <v>22</v>
      </c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</row>
    <row r="77" spans="1:29" s="49" customFormat="1" ht="15" hidden="1" customHeight="1">
      <c r="A77" s="254"/>
      <c r="B77" s="47" t="s">
        <v>12</v>
      </c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</row>
    <row r="78" spans="1:29" s="49" customFormat="1" ht="15" hidden="1" customHeight="1">
      <c r="A78" s="254"/>
      <c r="B78" s="47" t="s">
        <v>13</v>
      </c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</row>
    <row r="79" spans="1:29" s="49" customFormat="1" ht="15" hidden="1" customHeight="1">
      <c r="A79" s="254"/>
      <c r="B79" s="52" t="s">
        <v>14</v>
      </c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</row>
    <row r="80" spans="1:29" s="49" customFormat="1">
      <c r="A80" s="254"/>
      <c r="B80" s="57" t="s">
        <v>54</v>
      </c>
      <c r="C80" s="262"/>
      <c r="D80" s="263"/>
      <c r="E80" s="263"/>
      <c r="F80" s="263"/>
      <c r="G80" s="264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53"/>
    </row>
    <row r="81" spans="1:29" s="49" customFormat="1">
      <c r="A81" s="254"/>
      <c r="B81" s="47" t="s">
        <v>12</v>
      </c>
      <c r="C81" s="265"/>
      <c r="D81" s="266"/>
      <c r="E81" s="266"/>
      <c r="F81" s="266"/>
      <c r="G81" s="267"/>
      <c r="H81" s="51">
        <f>(MIN(H61,H52+((($C$60-1)/$C$60)*H60)+H53-H55-H57))/H57</f>
        <v>0.36666666666666664</v>
      </c>
      <c r="I81" s="51">
        <f>(MIN(I61,I52+((($C$60-1)/$C$60)*I60)+I53-I55-I57))/I57</f>
        <v>0.36666666666666664</v>
      </c>
      <c r="J81" s="51">
        <f>(MIN(J61,J52+((($C$60-1)/$C$60)*J60)+J53-J55-J57))/J57</f>
        <v>0.36666666666666664</v>
      </c>
      <c r="K81" s="51">
        <f>(MIN(K61,K52+((($C$60-1)/$C$60)*K60)+K53-K55-K57))/K57</f>
        <v>0.32258064516129031</v>
      </c>
      <c r="L81" s="51">
        <f t="shared" ref="L81:AB81" si="50">(MIN(L61,L52+((($C$60-1)/$C$60)*L60)+L53-L55-L57))/L57</f>
        <v>0.32258064516129031</v>
      </c>
      <c r="M81" s="51">
        <f t="shared" si="50"/>
        <v>0.28125</v>
      </c>
      <c r="N81" s="51">
        <f t="shared" si="50"/>
        <v>0.28125</v>
      </c>
      <c r="O81" s="51">
        <f t="shared" si="50"/>
        <v>0.28125</v>
      </c>
      <c r="P81" s="51">
        <f t="shared" si="50"/>
        <v>0.28125</v>
      </c>
      <c r="Q81" s="51">
        <f t="shared" si="50"/>
        <v>0.28125</v>
      </c>
      <c r="R81" s="51">
        <f t="shared" si="50"/>
        <v>0.28125</v>
      </c>
      <c r="S81" s="51">
        <f t="shared" si="50"/>
        <v>0.28125</v>
      </c>
      <c r="T81" s="51">
        <f t="shared" si="50"/>
        <v>0.28125</v>
      </c>
      <c r="U81" s="51">
        <f t="shared" si="50"/>
        <v>0.28125</v>
      </c>
      <c r="V81" s="51">
        <f t="shared" si="50"/>
        <v>0.28125</v>
      </c>
      <c r="W81" s="51">
        <f t="shared" si="50"/>
        <v>0.28125</v>
      </c>
      <c r="X81" s="51">
        <f t="shared" si="50"/>
        <v>0.28125</v>
      </c>
      <c r="Y81" s="51">
        <f t="shared" si="50"/>
        <v>0.28125</v>
      </c>
      <c r="Z81" s="51">
        <f t="shared" si="50"/>
        <v>0.28125</v>
      </c>
      <c r="AA81" s="51">
        <f t="shared" si="50"/>
        <v>0.28125</v>
      </c>
      <c r="AB81" s="51">
        <f t="shared" si="50"/>
        <v>0.28125</v>
      </c>
      <c r="AC81" s="53"/>
    </row>
    <row r="82" spans="1:29" s="49" customFormat="1">
      <c r="A82" s="254"/>
      <c r="B82" s="47" t="s">
        <v>25</v>
      </c>
      <c r="C82" s="265"/>
      <c r="D82" s="266"/>
      <c r="E82" s="266"/>
      <c r="F82" s="266"/>
      <c r="G82" s="267"/>
      <c r="H82" s="51">
        <f>(MIN(H61,H52+((($C$60-1)/$C$60)*H60)+H53+H55-H58+H99))/H58</f>
        <v>0.22323024132328312</v>
      </c>
      <c r="I82" s="51">
        <f t="shared" ref="I82:AB82" si="51">(MIN(I61,I52+((($C$60-1)/$C$60)*I60)+I53+I55-I58+I99))/I58</f>
        <v>0.22129439718332722</v>
      </c>
      <c r="J82" s="51">
        <f t="shared" si="51"/>
        <v>0.22317953267737842</v>
      </c>
      <c r="K82" s="51">
        <f t="shared" si="51"/>
        <v>0.22128108725115561</v>
      </c>
      <c r="L82" s="51">
        <f t="shared" si="51"/>
        <v>0.22019685651879806</v>
      </c>
      <c r="M82" s="51">
        <f t="shared" si="51"/>
        <v>0.21988557506748116</v>
      </c>
      <c r="N82" s="51">
        <f t="shared" si="51"/>
        <v>0.22190797354579841</v>
      </c>
      <c r="O82" s="51">
        <f t="shared" si="51"/>
        <v>0.22190797354579841</v>
      </c>
      <c r="P82" s="51">
        <f t="shared" si="51"/>
        <v>0.22190797354579744</v>
      </c>
      <c r="Q82" s="51">
        <f t="shared" si="51"/>
        <v>0.22190797354579744</v>
      </c>
      <c r="R82" s="51">
        <f t="shared" si="51"/>
        <v>0.22190797354579744</v>
      </c>
      <c r="S82" s="51">
        <f t="shared" si="51"/>
        <v>0.22190797354579744</v>
      </c>
      <c r="T82" s="51">
        <f t="shared" si="51"/>
        <v>0.22190797354579744</v>
      </c>
      <c r="U82" s="51">
        <f t="shared" si="51"/>
        <v>0.22190797354579744</v>
      </c>
      <c r="V82" s="51">
        <f t="shared" si="51"/>
        <v>0.22190797354579744</v>
      </c>
      <c r="W82" s="51">
        <f t="shared" si="51"/>
        <v>0.22190797354579744</v>
      </c>
      <c r="X82" s="51">
        <f t="shared" si="51"/>
        <v>0.22190797354579744</v>
      </c>
      <c r="Y82" s="51">
        <f t="shared" si="51"/>
        <v>0.22190797354579744</v>
      </c>
      <c r="Z82" s="51">
        <f t="shared" si="51"/>
        <v>0.22190797354579744</v>
      </c>
      <c r="AA82" s="51">
        <f t="shared" si="51"/>
        <v>0.22190797354579744</v>
      </c>
      <c r="AB82" s="51">
        <f t="shared" si="51"/>
        <v>0.22190797354579744</v>
      </c>
      <c r="AC82" s="53"/>
    </row>
    <row r="83" spans="1:29" s="49" customFormat="1">
      <c r="A83" s="255"/>
      <c r="B83" s="47" t="s">
        <v>14</v>
      </c>
      <c r="C83" s="268"/>
      <c r="D83" s="269"/>
      <c r="E83" s="269"/>
      <c r="F83" s="269"/>
      <c r="G83" s="270"/>
      <c r="H83" s="51">
        <f>(MIN(H$61,H52+((($C$60-1)/$C$60)*H$60)+H53+H56-H59+H91))/H59</f>
        <v>-0.15575871003783012</v>
      </c>
      <c r="I83" s="51">
        <f t="shared" ref="I83:AB83" si="52">(MIN(I$61,I52+((($C$60-1)/$C$60)*I$60)+I53+I56-I59+I91))/I59</f>
        <v>-0.16065086700165226</v>
      </c>
      <c r="J83" s="51">
        <f t="shared" si="52"/>
        <v>-0.15939302451645529</v>
      </c>
      <c r="K83" s="51">
        <f t="shared" si="52"/>
        <v>-0.15984477522526469</v>
      </c>
      <c r="L83" s="51">
        <f t="shared" si="52"/>
        <v>-0.16207078158600952</v>
      </c>
      <c r="M83" s="51">
        <f t="shared" si="52"/>
        <v>-0.16313529068292343</v>
      </c>
      <c r="N83" s="51">
        <f t="shared" si="52"/>
        <v>-0.16313529068292343</v>
      </c>
      <c r="O83" s="51">
        <f t="shared" si="52"/>
        <v>-0.16313529068292343</v>
      </c>
      <c r="P83" s="51">
        <f t="shared" si="52"/>
        <v>-0.16313529068292354</v>
      </c>
      <c r="Q83" s="51">
        <f t="shared" si="52"/>
        <v>-0.16313529068292354</v>
      </c>
      <c r="R83" s="51">
        <f t="shared" si="52"/>
        <v>-0.16313529068292354</v>
      </c>
      <c r="S83" s="51">
        <f t="shared" si="52"/>
        <v>-0.16313529068292354</v>
      </c>
      <c r="T83" s="51">
        <f t="shared" si="52"/>
        <v>-0.16313529068292354</v>
      </c>
      <c r="U83" s="51">
        <f t="shared" si="52"/>
        <v>-0.16313529068292354</v>
      </c>
      <c r="V83" s="51">
        <f t="shared" si="52"/>
        <v>-0.16313529068292354</v>
      </c>
      <c r="W83" s="51">
        <f t="shared" si="52"/>
        <v>-0.16313529068292354</v>
      </c>
      <c r="X83" s="51">
        <f t="shared" si="52"/>
        <v>-0.16313529068292354</v>
      </c>
      <c r="Y83" s="51">
        <f t="shared" si="52"/>
        <v>-0.16313529068292354</v>
      </c>
      <c r="Z83" s="51">
        <f t="shared" si="52"/>
        <v>-0.16313529068292354</v>
      </c>
      <c r="AA83" s="51">
        <f t="shared" si="52"/>
        <v>-0.16313529068292354</v>
      </c>
      <c r="AB83" s="51">
        <f t="shared" si="52"/>
        <v>-0.16313529068292354</v>
      </c>
      <c r="AC83" s="53"/>
    </row>
    <row r="84" spans="1:29" s="23" customFormat="1">
      <c r="A84" s="286" t="s">
        <v>46</v>
      </c>
      <c r="B84" s="287"/>
      <c r="C84" s="287"/>
      <c r="D84" s="287"/>
      <c r="E84" s="287"/>
      <c r="F84" s="287"/>
      <c r="G84" s="288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</row>
    <row r="85" spans="1:29" s="23" customFormat="1">
      <c r="A85" s="277" t="s">
        <v>32</v>
      </c>
      <c r="B85" s="278"/>
      <c r="C85" s="278"/>
      <c r="D85" s="278"/>
      <c r="E85" s="278"/>
      <c r="F85" s="278"/>
      <c r="G85" s="252"/>
      <c r="H85" s="27">
        <f>H86+H87</f>
        <v>5.7744239631336409</v>
      </c>
      <c r="I85" s="27">
        <f>I86+I87</f>
        <v>5.5928528035963794</v>
      </c>
      <c r="J85" s="27">
        <f t="shared" ref="J85:AB85" si="53">J86+J87</f>
        <v>5.4214002192008053</v>
      </c>
      <c r="K85" s="27">
        <f t="shared" si="53"/>
        <v>5.2848860157009572</v>
      </c>
      <c r="L85" s="27">
        <f t="shared" si="53"/>
        <v>5.0525985663082444</v>
      </c>
      <c r="M85" s="27">
        <f t="shared" si="53"/>
        <v>5.0277931188374261</v>
      </c>
      <c r="N85" s="27">
        <f t="shared" si="53"/>
        <v>5.0277931188374261</v>
      </c>
      <c r="O85" s="27">
        <f t="shared" si="53"/>
        <v>5.0277931188374261</v>
      </c>
      <c r="P85" s="27">
        <f t="shared" si="53"/>
        <v>5.0277931188374261</v>
      </c>
      <c r="Q85" s="27">
        <f t="shared" si="53"/>
        <v>5.0277931188374261</v>
      </c>
      <c r="R85" s="27">
        <f t="shared" si="53"/>
        <v>5.0277931188374261</v>
      </c>
      <c r="S85" s="27">
        <f t="shared" si="53"/>
        <v>5.0277931188374261</v>
      </c>
      <c r="T85" s="27">
        <f t="shared" si="53"/>
        <v>5.0277931188374261</v>
      </c>
      <c r="U85" s="27">
        <f t="shared" si="53"/>
        <v>5.0277931188374261</v>
      </c>
      <c r="V85" s="27">
        <f t="shared" si="53"/>
        <v>5.0277931188374261</v>
      </c>
      <c r="W85" s="27">
        <f t="shared" si="53"/>
        <v>5.0277931188374261</v>
      </c>
      <c r="X85" s="27">
        <f t="shared" si="53"/>
        <v>5.0277931188374261</v>
      </c>
      <c r="Y85" s="27">
        <f t="shared" si="53"/>
        <v>5.0277931188374261</v>
      </c>
      <c r="Z85" s="27">
        <f t="shared" si="53"/>
        <v>5.0277931188374261</v>
      </c>
      <c r="AA85" s="27">
        <f t="shared" si="53"/>
        <v>5.0277931188374261</v>
      </c>
      <c r="AB85" s="27">
        <f t="shared" si="53"/>
        <v>5.0277931188374261</v>
      </c>
    </row>
    <row r="86" spans="1:29" s="23" customFormat="1">
      <c r="A86" s="277" t="s">
        <v>29</v>
      </c>
      <c r="B86" s="278"/>
      <c r="C86" s="278"/>
      <c r="D86" s="278"/>
      <c r="E86" s="278"/>
      <c r="F86" s="278"/>
      <c r="G86" s="252"/>
      <c r="H86" s="27">
        <f t="shared" ref="H86:AB86" si="54">H20-H47</f>
        <v>2.7928571428571427</v>
      </c>
      <c r="I86" s="27">
        <f t="shared" si="54"/>
        <v>2.7965160075329569</v>
      </c>
      <c r="J86" s="27">
        <f t="shared" si="54"/>
        <v>2.7107897153351699</v>
      </c>
      <c r="K86" s="27">
        <f t="shared" si="54"/>
        <v>2.6425326135852454</v>
      </c>
      <c r="L86" s="27">
        <f t="shared" si="54"/>
        <v>2.526388888888889</v>
      </c>
      <c r="M86" s="27">
        <f t="shared" si="54"/>
        <v>2.5139861651534803</v>
      </c>
      <c r="N86" s="27">
        <f t="shared" si="54"/>
        <v>2.5139861651534803</v>
      </c>
      <c r="O86" s="27">
        <f t="shared" si="54"/>
        <v>2.5139861651534803</v>
      </c>
      <c r="P86" s="27">
        <f t="shared" si="54"/>
        <v>2.5139861651534803</v>
      </c>
      <c r="Q86" s="27">
        <f t="shared" si="54"/>
        <v>2.5139861651534803</v>
      </c>
      <c r="R86" s="27">
        <f t="shared" si="54"/>
        <v>2.5139861651534803</v>
      </c>
      <c r="S86" s="27">
        <f t="shared" si="54"/>
        <v>2.5139861651534803</v>
      </c>
      <c r="T86" s="27">
        <f t="shared" si="54"/>
        <v>2.5139861651534803</v>
      </c>
      <c r="U86" s="27">
        <f t="shared" si="54"/>
        <v>2.5139861651534803</v>
      </c>
      <c r="V86" s="27">
        <f t="shared" si="54"/>
        <v>2.5139861651534803</v>
      </c>
      <c r="W86" s="27">
        <f t="shared" si="54"/>
        <v>2.5139861651534803</v>
      </c>
      <c r="X86" s="27">
        <f t="shared" si="54"/>
        <v>2.5139861651534803</v>
      </c>
      <c r="Y86" s="27">
        <f t="shared" si="54"/>
        <v>2.5139861651534803</v>
      </c>
      <c r="Z86" s="27">
        <f t="shared" si="54"/>
        <v>2.5139861651534803</v>
      </c>
      <c r="AA86" s="27">
        <f t="shared" si="54"/>
        <v>2.5139861651534803</v>
      </c>
      <c r="AB86" s="27">
        <f t="shared" si="54"/>
        <v>2.5139861651534803</v>
      </c>
    </row>
    <row r="87" spans="1:29" s="23" customFormat="1">
      <c r="A87" s="277" t="s">
        <v>30</v>
      </c>
      <c r="B87" s="278"/>
      <c r="C87" s="278"/>
      <c r="D87" s="278"/>
      <c r="E87" s="278"/>
      <c r="F87" s="278"/>
      <c r="G87" s="252"/>
      <c r="H87" s="27">
        <f t="shared" ref="H87:AB87" si="55">H20-H65</f>
        <v>2.9815668202764978</v>
      </c>
      <c r="I87" s="27">
        <f t="shared" si="55"/>
        <v>2.7963367960634229</v>
      </c>
      <c r="J87" s="27">
        <f t="shared" si="55"/>
        <v>2.7106105038656358</v>
      </c>
      <c r="K87" s="27">
        <f t="shared" si="55"/>
        <v>2.6423534021157113</v>
      </c>
      <c r="L87" s="27">
        <f t="shared" si="55"/>
        <v>2.526209677419355</v>
      </c>
      <c r="M87" s="27">
        <f t="shared" si="55"/>
        <v>2.5138069536839462</v>
      </c>
      <c r="N87" s="27">
        <f t="shared" si="55"/>
        <v>2.5138069536839462</v>
      </c>
      <c r="O87" s="27">
        <f t="shared" si="55"/>
        <v>2.5138069536839462</v>
      </c>
      <c r="P87" s="27">
        <f t="shared" si="55"/>
        <v>2.5138069536839462</v>
      </c>
      <c r="Q87" s="27">
        <f t="shared" si="55"/>
        <v>2.5138069536839462</v>
      </c>
      <c r="R87" s="27">
        <f t="shared" si="55"/>
        <v>2.5138069536839462</v>
      </c>
      <c r="S87" s="27">
        <f t="shared" si="55"/>
        <v>2.5138069536839462</v>
      </c>
      <c r="T87" s="27">
        <f t="shared" si="55"/>
        <v>2.5138069536839462</v>
      </c>
      <c r="U87" s="27">
        <f t="shared" si="55"/>
        <v>2.5138069536839462</v>
      </c>
      <c r="V87" s="27">
        <f t="shared" si="55"/>
        <v>2.5138069536839462</v>
      </c>
      <c r="W87" s="27">
        <f t="shared" si="55"/>
        <v>2.5138069536839462</v>
      </c>
      <c r="X87" s="27">
        <f t="shared" si="55"/>
        <v>2.5138069536839462</v>
      </c>
      <c r="Y87" s="27">
        <f t="shared" si="55"/>
        <v>2.5138069536839462</v>
      </c>
      <c r="Z87" s="27">
        <f t="shared" si="55"/>
        <v>2.5138069536839462</v>
      </c>
      <c r="AA87" s="27">
        <f t="shared" si="55"/>
        <v>2.5138069536839462</v>
      </c>
      <c r="AB87" s="27">
        <f t="shared" si="55"/>
        <v>2.5138069536839462</v>
      </c>
    </row>
    <row r="88" spans="1:29" s="29" customFormat="1">
      <c r="A88" s="277" t="s">
        <v>36</v>
      </c>
      <c r="B88" s="278"/>
      <c r="C88" s="278"/>
      <c r="D88" s="278"/>
      <c r="E88" s="278"/>
      <c r="F88" s="278"/>
      <c r="G88" s="252"/>
      <c r="H88" s="30">
        <f t="shared" ref="H88:AB88" si="56">H29*H86/H85</f>
        <v>743.75280156418387</v>
      </c>
      <c r="I88" s="30">
        <f t="shared" si="56"/>
        <v>772.82476278717172</v>
      </c>
      <c r="J88" s="30">
        <f t="shared" si="56"/>
        <v>778.28572640141738</v>
      </c>
      <c r="K88" s="30">
        <f t="shared" si="56"/>
        <v>776.32632447764979</v>
      </c>
      <c r="L88" s="30">
        <f t="shared" si="56"/>
        <v>766.66719208328186</v>
      </c>
      <c r="M88" s="30">
        <f t="shared" si="56"/>
        <v>762.04716156388872</v>
      </c>
      <c r="N88" s="30">
        <f t="shared" si="56"/>
        <v>762.04716156388872</v>
      </c>
      <c r="O88" s="30">
        <f t="shared" si="56"/>
        <v>762.04716156388872</v>
      </c>
      <c r="P88" s="30">
        <f t="shared" si="56"/>
        <v>762.04716156388827</v>
      </c>
      <c r="Q88" s="30">
        <f t="shared" si="56"/>
        <v>762.04716156388827</v>
      </c>
      <c r="R88" s="30">
        <f t="shared" si="56"/>
        <v>762.04716156388827</v>
      </c>
      <c r="S88" s="30">
        <f t="shared" si="56"/>
        <v>762.04716156388827</v>
      </c>
      <c r="T88" s="30">
        <f t="shared" si="56"/>
        <v>762.04716156388827</v>
      </c>
      <c r="U88" s="30">
        <f t="shared" si="56"/>
        <v>762.04716156388827</v>
      </c>
      <c r="V88" s="30">
        <f t="shared" si="56"/>
        <v>762.04716156388827</v>
      </c>
      <c r="W88" s="30">
        <f t="shared" si="56"/>
        <v>762.04716156388827</v>
      </c>
      <c r="X88" s="30">
        <f t="shared" si="56"/>
        <v>762.04716156388827</v>
      </c>
      <c r="Y88" s="30">
        <f t="shared" si="56"/>
        <v>762.04716156388827</v>
      </c>
      <c r="Z88" s="30">
        <f t="shared" si="56"/>
        <v>762.04716156388827</v>
      </c>
      <c r="AA88" s="30">
        <f t="shared" si="56"/>
        <v>762.04716156388827</v>
      </c>
      <c r="AB88" s="30">
        <f t="shared" si="56"/>
        <v>762.04716156388827</v>
      </c>
    </row>
    <row r="89" spans="1:29" s="23" customFormat="1">
      <c r="A89" s="274" t="s">
        <v>34</v>
      </c>
      <c r="B89" s="275"/>
      <c r="C89" s="275"/>
      <c r="D89" s="275"/>
      <c r="E89" s="275"/>
      <c r="F89" s="275"/>
      <c r="G89" s="276"/>
      <c r="H89" s="27">
        <f>H28*H86/H85</f>
        <v>53.125200111727423</v>
      </c>
      <c r="I89" s="27">
        <f t="shared" ref="I89:AB89" si="57">I28*I86/I85</f>
        <v>55.201768770512274</v>
      </c>
      <c r="J89" s="27">
        <f t="shared" si="57"/>
        <v>55.591837600101243</v>
      </c>
      <c r="K89" s="27">
        <f t="shared" si="57"/>
        <v>55.451880319832135</v>
      </c>
      <c r="L89" s="27">
        <f t="shared" si="57"/>
        <v>54.761942291662997</v>
      </c>
      <c r="M89" s="27">
        <f t="shared" si="57"/>
        <v>54.431940111706339</v>
      </c>
      <c r="N89" s="27">
        <f t="shared" si="57"/>
        <v>54.431940111706339</v>
      </c>
      <c r="O89" s="27">
        <f t="shared" si="57"/>
        <v>54.431940111706339</v>
      </c>
      <c r="P89" s="27">
        <f t="shared" si="57"/>
        <v>54.431940111706304</v>
      </c>
      <c r="Q89" s="27">
        <f t="shared" si="57"/>
        <v>54.431940111706304</v>
      </c>
      <c r="R89" s="27">
        <f t="shared" si="57"/>
        <v>54.431940111706304</v>
      </c>
      <c r="S89" s="27">
        <f t="shared" si="57"/>
        <v>54.431940111706304</v>
      </c>
      <c r="T89" s="27">
        <f t="shared" si="57"/>
        <v>54.431940111706304</v>
      </c>
      <c r="U89" s="27">
        <f t="shared" si="57"/>
        <v>54.431940111706304</v>
      </c>
      <c r="V89" s="27">
        <f t="shared" si="57"/>
        <v>54.431940111706304</v>
      </c>
      <c r="W89" s="27">
        <f t="shared" si="57"/>
        <v>54.431940111706304</v>
      </c>
      <c r="X89" s="27">
        <f t="shared" si="57"/>
        <v>54.431940111706304</v>
      </c>
      <c r="Y89" s="27">
        <f t="shared" si="57"/>
        <v>54.431940111706304</v>
      </c>
      <c r="Z89" s="27">
        <f t="shared" si="57"/>
        <v>54.431940111706304</v>
      </c>
      <c r="AA89" s="27">
        <f t="shared" si="57"/>
        <v>54.431940111706304</v>
      </c>
      <c r="AB89" s="27">
        <f t="shared" si="57"/>
        <v>54.431940111706304</v>
      </c>
    </row>
    <row r="90" spans="1:29" s="29" customFormat="1">
      <c r="A90" s="251" t="s">
        <v>37</v>
      </c>
      <c r="B90" s="252"/>
      <c r="C90" s="252"/>
      <c r="D90" s="252"/>
      <c r="E90" s="252"/>
      <c r="F90" s="252"/>
      <c r="G90" s="252"/>
      <c r="H90" s="30">
        <f t="shared" ref="H90:AB90" si="58">H29*H87/H85</f>
        <v>794.00719843581714</v>
      </c>
      <c r="I90" s="30">
        <f t="shared" si="58"/>
        <v>772.7752372128291</v>
      </c>
      <c r="J90" s="30">
        <f t="shared" si="58"/>
        <v>778.23427359858397</v>
      </c>
      <c r="K90" s="30">
        <f t="shared" si="58"/>
        <v>776.27367552235137</v>
      </c>
      <c r="L90" s="30">
        <f t="shared" si="58"/>
        <v>766.61280791671857</v>
      </c>
      <c r="M90" s="30">
        <f t="shared" si="58"/>
        <v>761.99283843611227</v>
      </c>
      <c r="N90" s="30">
        <f t="shared" si="58"/>
        <v>761.99283843611227</v>
      </c>
      <c r="O90" s="30">
        <f t="shared" si="58"/>
        <v>761.99283843611227</v>
      </c>
      <c r="P90" s="30">
        <f t="shared" si="58"/>
        <v>761.99283843611181</v>
      </c>
      <c r="Q90" s="30">
        <f t="shared" si="58"/>
        <v>761.99283843611181</v>
      </c>
      <c r="R90" s="30">
        <f t="shared" si="58"/>
        <v>761.99283843611181</v>
      </c>
      <c r="S90" s="30">
        <f t="shared" si="58"/>
        <v>761.99283843611181</v>
      </c>
      <c r="T90" s="30">
        <f t="shared" si="58"/>
        <v>761.99283843611181</v>
      </c>
      <c r="U90" s="30">
        <f t="shared" si="58"/>
        <v>761.99283843611181</v>
      </c>
      <c r="V90" s="30">
        <f t="shared" si="58"/>
        <v>761.99283843611181</v>
      </c>
      <c r="W90" s="30">
        <f t="shared" si="58"/>
        <v>761.99283843611181</v>
      </c>
      <c r="X90" s="30">
        <f t="shared" si="58"/>
        <v>761.99283843611181</v>
      </c>
      <c r="Y90" s="30">
        <f t="shared" si="58"/>
        <v>761.99283843611181</v>
      </c>
      <c r="Z90" s="30">
        <f t="shared" si="58"/>
        <v>761.99283843611181</v>
      </c>
      <c r="AA90" s="30">
        <f t="shared" si="58"/>
        <v>761.99283843611181</v>
      </c>
      <c r="AB90" s="30">
        <f t="shared" si="58"/>
        <v>761.99283843611181</v>
      </c>
    </row>
    <row r="91" spans="1:29" s="23" customFormat="1">
      <c r="A91" s="291" t="s">
        <v>35</v>
      </c>
      <c r="B91" s="276"/>
      <c r="C91" s="276"/>
      <c r="D91" s="276"/>
      <c r="E91" s="276"/>
      <c r="F91" s="276"/>
      <c r="G91" s="276"/>
      <c r="H91" s="27">
        <f>H28*H87/H85</f>
        <v>56.714799888272658</v>
      </c>
      <c r="I91" s="27">
        <f t="shared" ref="I91:AB91" si="59">I28*I87/I85</f>
        <v>55.198231229487796</v>
      </c>
      <c r="J91" s="27">
        <f t="shared" si="59"/>
        <v>55.588162399898863</v>
      </c>
      <c r="K91" s="27">
        <f t="shared" si="59"/>
        <v>55.448119680167949</v>
      </c>
      <c r="L91" s="27">
        <f t="shared" si="59"/>
        <v>54.758057708337049</v>
      </c>
      <c r="M91" s="27">
        <f t="shared" si="59"/>
        <v>54.428059888293738</v>
      </c>
      <c r="N91" s="27">
        <f t="shared" si="59"/>
        <v>54.428059888293738</v>
      </c>
      <c r="O91" s="27">
        <f t="shared" si="59"/>
        <v>54.428059888293738</v>
      </c>
      <c r="P91" s="27">
        <f t="shared" si="59"/>
        <v>54.428059888293703</v>
      </c>
      <c r="Q91" s="27">
        <f t="shared" si="59"/>
        <v>54.428059888293703</v>
      </c>
      <c r="R91" s="27">
        <f t="shared" si="59"/>
        <v>54.428059888293703</v>
      </c>
      <c r="S91" s="27">
        <f t="shared" si="59"/>
        <v>54.428059888293703</v>
      </c>
      <c r="T91" s="27">
        <f t="shared" si="59"/>
        <v>54.428059888293703</v>
      </c>
      <c r="U91" s="27">
        <f t="shared" si="59"/>
        <v>54.428059888293703</v>
      </c>
      <c r="V91" s="27">
        <f t="shared" si="59"/>
        <v>54.428059888293703</v>
      </c>
      <c r="W91" s="27">
        <f t="shared" si="59"/>
        <v>54.428059888293703</v>
      </c>
      <c r="X91" s="27">
        <f t="shared" si="59"/>
        <v>54.428059888293703</v>
      </c>
      <c r="Y91" s="27">
        <f t="shared" si="59"/>
        <v>54.428059888293703</v>
      </c>
      <c r="Z91" s="27">
        <f t="shared" si="59"/>
        <v>54.428059888293703</v>
      </c>
      <c r="AA91" s="27">
        <f t="shared" si="59"/>
        <v>54.428059888293703</v>
      </c>
      <c r="AB91" s="27">
        <f t="shared" si="59"/>
        <v>54.428059888293703</v>
      </c>
    </row>
    <row r="92" spans="1:29" s="23" customFormat="1">
      <c r="A92" s="306" t="s">
        <v>47</v>
      </c>
      <c r="B92" s="307"/>
      <c r="C92" s="307"/>
      <c r="D92" s="307"/>
      <c r="E92" s="307"/>
      <c r="F92" s="307"/>
      <c r="G92" s="30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</row>
    <row r="93" spans="1:29" s="23" customFormat="1">
      <c r="A93" s="301" t="s">
        <v>33</v>
      </c>
      <c r="B93" s="302"/>
      <c r="C93" s="302"/>
      <c r="D93" s="302"/>
      <c r="E93" s="302"/>
      <c r="F93" s="302"/>
      <c r="G93" s="303"/>
      <c r="H93" s="28">
        <f>H94+H95</f>
        <v>9.7037670094209112</v>
      </c>
      <c r="I93" s="28">
        <f t="shared" ref="I93:AB93" si="60">I94+I95</f>
        <v>9.0683857440824767</v>
      </c>
      <c r="J93" s="28">
        <f t="shared" si="60"/>
        <v>8.9237506220691145</v>
      </c>
      <c r="K93" s="28">
        <f t="shared" si="60"/>
        <v>8.6768373472703821</v>
      </c>
      <c r="L93" s="28">
        <f t="shared" si="60"/>
        <v>8.3189860237241149</v>
      </c>
      <c r="M93" s="28">
        <f t="shared" si="60"/>
        <v>8.3206725449959578</v>
      </c>
      <c r="N93" s="28">
        <f t="shared" si="60"/>
        <v>8.1941969107593344</v>
      </c>
      <c r="O93" s="28">
        <f t="shared" si="60"/>
        <v>8.1941969107593344</v>
      </c>
      <c r="P93" s="28">
        <f t="shared" si="60"/>
        <v>8.1941969107593415</v>
      </c>
      <c r="Q93" s="28">
        <f t="shared" si="60"/>
        <v>8.1941969107593415</v>
      </c>
      <c r="R93" s="28">
        <f t="shared" si="60"/>
        <v>8.1941969107593415</v>
      </c>
      <c r="S93" s="28">
        <f t="shared" si="60"/>
        <v>8.1941969107593415</v>
      </c>
      <c r="T93" s="28">
        <f t="shared" si="60"/>
        <v>8.1941969107593415</v>
      </c>
      <c r="U93" s="28">
        <f t="shared" si="60"/>
        <v>8.1941969107593415</v>
      </c>
      <c r="V93" s="28">
        <f t="shared" si="60"/>
        <v>8.1941969107593415</v>
      </c>
      <c r="W93" s="28">
        <f t="shared" si="60"/>
        <v>8.1941969107593415</v>
      </c>
      <c r="X93" s="28">
        <f t="shared" si="60"/>
        <v>8.1941969107593415</v>
      </c>
      <c r="Y93" s="28">
        <f t="shared" si="60"/>
        <v>8.1941969107593415</v>
      </c>
      <c r="Z93" s="28">
        <f t="shared" si="60"/>
        <v>8.1941969107593415</v>
      </c>
      <c r="AA93" s="28">
        <f t="shared" si="60"/>
        <v>8.1941969107593415</v>
      </c>
      <c r="AB93" s="28">
        <f t="shared" si="60"/>
        <v>8.1941969107593415</v>
      </c>
    </row>
    <row r="94" spans="1:29" s="23" customFormat="1">
      <c r="A94" s="301" t="s">
        <v>28</v>
      </c>
      <c r="B94" s="302"/>
      <c r="C94" s="302"/>
      <c r="D94" s="302"/>
      <c r="E94" s="302"/>
      <c r="F94" s="302"/>
      <c r="G94" s="303"/>
      <c r="H94" s="28">
        <f t="shared" ref="H94:AB94" si="61">H33-H46</f>
        <v>5.1292644570914083</v>
      </c>
      <c r="I94" s="28">
        <f t="shared" si="61"/>
        <v>4.8115738244221911</v>
      </c>
      <c r="J94" s="28">
        <f t="shared" si="61"/>
        <v>4.7392562634155091</v>
      </c>
      <c r="K94" s="28">
        <f t="shared" si="61"/>
        <v>4.6157996260161429</v>
      </c>
      <c r="L94" s="28">
        <f t="shared" si="61"/>
        <v>4.4368739642430102</v>
      </c>
      <c r="M94" s="28">
        <f t="shared" si="61"/>
        <v>4.4377172248789316</v>
      </c>
      <c r="N94" s="28">
        <f t="shared" si="61"/>
        <v>4.3744794077606199</v>
      </c>
      <c r="O94" s="28">
        <f t="shared" si="61"/>
        <v>4.3744794077606199</v>
      </c>
      <c r="P94" s="28">
        <f t="shared" si="61"/>
        <v>4.3744794077606226</v>
      </c>
      <c r="Q94" s="28">
        <f t="shared" si="61"/>
        <v>4.3744794077606226</v>
      </c>
      <c r="R94" s="28">
        <f t="shared" si="61"/>
        <v>4.3744794077606226</v>
      </c>
      <c r="S94" s="28">
        <f t="shared" si="61"/>
        <v>4.3744794077606226</v>
      </c>
      <c r="T94" s="28">
        <f t="shared" si="61"/>
        <v>4.3744794077606226</v>
      </c>
      <c r="U94" s="28">
        <f t="shared" si="61"/>
        <v>4.3744794077606226</v>
      </c>
      <c r="V94" s="28">
        <f t="shared" si="61"/>
        <v>4.3744794077606226</v>
      </c>
      <c r="W94" s="28">
        <f t="shared" si="61"/>
        <v>4.3744794077606226</v>
      </c>
      <c r="X94" s="28">
        <f t="shared" si="61"/>
        <v>4.3744794077606226</v>
      </c>
      <c r="Y94" s="28">
        <f t="shared" si="61"/>
        <v>4.3744794077606226</v>
      </c>
      <c r="Z94" s="28">
        <f t="shared" si="61"/>
        <v>4.3744794077606226</v>
      </c>
      <c r="AA94" s="28">
        <f t="shared" si="61"/>
        <v>4.3744794077606226</v>
      </c>
      <c r="AB94" s="28">
        <f t="shared" si="61"/>
        <v>4.3744794077606226</v>
      </c>
    </row>
    <row r="95" spans="1:29" s="23" customFormat="1">
      <c r="A95" s="301" t="s">
        <v>31</v>
      </c>
      <c r="B95" s="302"/>
      <c r="C95" s="302"/>
      <c r="D95" s="302"/>
      <c r="E95" s="302"/>
      <c r="F95" s="302"/>
      <c r="G95" s="303"/>
      <c r="H95" s="28">
        <f t="shared" ref="H95:AB95" si="62">H33-H64</f>
        <v>4.5745025523295038</v>
      </c>
      <c r="I95" s="28">
        <f t="shared" si="62"/>
        <v>4.2568119196602865</v>
      </c>
      <c r="J95" s="28">
        <f t="shared" si="62"/>
        <v>4.1844943586536045</v>
      </c>
      <c r="K95" s="28">
        <f t="shared" si="62"/>
        <v>4.0610377212542383</v>
      </c>
      <c r="L95" s="28">
        <f t="shared" si="62"/>
        <v>3.8821120594811052</v>
      </c>
      <c r="M95" s="28">
        <f t="shared" si="62"/>
        <v>3.8829553201170266</v>
      </c>
      <c r="N95" s="28">
        <f t="shared" si="62"/>
        <v>3.8197175029987154</v>
      </c>
      <c r="O95" s="28">
        <f t="shared" si="62"/>
        <v>3.8197175029987154</v>
      </c>
      <c r="P95" s="28">
        <f t="shared" si="62"/>
        <v>3.819717502998718</v>
      </c>
      <c r="Q95" s="28">
        <f t="shared" si="62"/>
        <v>3.819717502998718</v>
      </c>
      <c r="R95" s="28">
        <f t="shared" si="62"/>
        <v>3.819717502998718</v>
      </c>
      <c r="S95" s="28">
        <f t="shared" si="62"/>
        <v>3.819717502998718</v>
      </c>
      <c r="T95" s="28">
        <f t="shared" si="62"/>
        <v>3.819717502998718</v>
      </c>
      <c r="U95" s="28">
        <f t="shared" si="62"/>
        <v>3.819717502998718</v>
      </c>
      <c r="V95" s="28">
        <f t="shared" si="62"/>
        <v>3.819717502998718</v>
      </c>
      <c r="W95" s="28">
        <f t="shared" si="62"/>
        <v>3.819717502998718</v>
      </c>
      <c r="X95" s="28">
        <f t="shared" si="62"/>
        <v>3.819717502998718</v>
      </c>
      <c r="Y95" s="28">
        <f t="shared" si="62"/>
        <v>3.819717502998718</v>
      </c>
      <c r="Z95" s="28">
        <f t="shared" si="62"/>
        <v>3.819717502998718</v>
      </c>
      <c r="AA95" s="28">
        <f t="shared" si="62"/>
        <v>3.819717502998718</v>
      </c>
      <c r="AB95" s="28">
        <f t="shared" si="62"/>
        <v>3.819717502998718</v>
      </c>
    </row>
    <row r="96" spans="1:29" s="23" customFormat="1">
      <c r="A96" s="304" t="s">
        <v>36</v>
      </c>
      <c r="B96" s="305"/>
      <c r="C96" s="305"/>
      <c r="D96" s="305"/>
      <c r="E96" s="305"/>
      <c r="F96" s="305"/>
      <c r="G96" s="290"/>
      <c r="H96" s="31">
        <f t="shared" ref="H96:AB96" si="63">H32*H94/H93</f>
        <v>9830.6918279148285</v>
      </c>
      <c r="I96" s="31">
        <f t="shared" si="63"/>
        <v>9832.3866797542069</v>
      </c>
      <c r="J96" s="31">
        <f t="shared" si="63"/>
        <v>9927.7519252731981</v>
      </c>
      <c r="K96" s="31">
        <f t="shared" si="63"/>
        <v>9886.500623815069</v>
      </c>
      <c r="L96" s="31">
        <f t="shared" si="63"/>
        <v>9897.2879693603045</v>
      </c>
      <c r="M96" s="31">
        <f t="shared" si="63"/>
        <v>9884.3934920924657</v>
      </c>
      <c r="N96" s="31">
        <f t="shared" si="63"/>
        <v>9987.0497767541401</v>
      </c>
      <c r="O96" s="31">
        <f t="shared" si="63"/>
        <v>9987.0497767541401</v>
      </c>
      <c r="P96" s="31">
        <f t="shared" si="63"/>
        <v>9987.0497767540983</v>
      </c>
      <c r="Q96" s="31">
        <f t="shared" si="63"/>
        <v>9987.0497767540983</v>
      </c>
      <c r="R96" s="31">
        <f t="shared" si="63"/>
        <v>9987.0497767540983</v>
      </c>
      <c r="S96" s="31">
        <f t="shared" si="63"/>
        <v>9987.0497767540983</v>
      </c>
      <c r="T96" s="31">
        <f t="shared" si="63"/>
        <v>9987.0497767540983</v>
      </c>
      <c r="U96" s="31">
        <f t="shared" si="63"/>
        <v>9987.0497767540983</v>
      </c>
      <c r="V96" s="31">
        <f t="shared" si="63"/>
        <v>9987.0497767540983</v>
      </c>
      <c r="W96" s="31">
        <f t="shared" si="63"/>
        <v>9987.0497767540983</v>
      </c>
      <c r="X96" s="31">
        <f t="shared" si="63"/>
        <v>9987.0497767540983</v>
      </c>
      <c r="Y96" s="31">
        <f t="shared" si="63"/>
        <v>9987.0497767540983</v>
      </c>
      <c r="Z96" s="31">
        <f t="shared" si="63"/>
        <v>9987.0497767540983</v>
      </c>
      <c r="AA96" s="31">
        <f t="shared" si="63"/>
        <v>9987.0497767540983</v>
      </c>
      <c r="AB96" s="31">
        <f t="shared" si="63"/>
        <v>9987.0497767540983</v>
      </c>
    </row>
    <row r="97" spans="1:28" s="23" customFormat="1">
      <c r="A97" s="304" t="s">
        <v>34</v>
      </c>
      <c r="B97" s="305"/>
      <c r="C97" s="305"/>
      <c r="D97" s="305"/>
      <c r="E97" s="305"/>
      <c r="F97" s="305"/>
      <c r="G97" s="290"/>
      <c r="H97" s="31">
        <f>H31*H94/H93</f>
        <v>58.169774129673534</v>
      </c>
      <c r="I97" s="31">
        <f t="shared" ref="I97:AB97" si="64">I31*I94/I93</f>
        <v>58.179802838782287</v>
      </c>
      <c r="J97" s="31">
        <f t="shared" si="64"/>
        <v>58.744094232385784</v>
      </c>
      <c r="K97" s="31">
        <f t="shared" si="64"/>
        <v>58.500003691213429</v>
      </c>
      <c r="L97" s="31">
        <f t="shared" si="64"/>
        <v>58.563834138226653</v>
      </c>
      <c r="M97" s="31">
        <f t="shared" si="64"/>
        <v>58.487535456168438</v>
      </c>
      <c r="N97" s="31">
        <f t="shared" si="64"/>
        <v>59.09496909321976</v>
      </c>
      <c r="O97" s="31">
        <f t="shared" si="64"/>
        <v>59.09496909321976</v>
      </c>
      <c r="P97" s="31">
        <f t="shared" si="64"/>
        <v>59.094969093219525</v>
      </c>
      <c r="Q97" s="31">
        <f t="shared" si="64"/>
        <v>59.094969093219525</v>
      </c>
      <c r="R97" s="31">
        <f t="shared" si="64"/>
        <v>59.094969093219525</v>
      </c>
      <c r="S97" s="31">
        <f t="shared" si="64"/>
        <v>59.094969093219525</v>
      </c>
      <c r="T97" s="31">
        <f t="shared" si="64"/>
        <v>59.094969093219525</v>
      </c>
      <c r="U97" s="31">
        <f t="shared" si="64"/>
        <v>59.094969093219525</v>
      </c>
      <c r="V97" s="31">
        <f t="shared" si="64"/>
        <v>59.094969093219525</v>
      </c>
      <c r="W97" s="31">
        <f t="shared" si="64"/>
        <v>59.094969093219525</v>
      </c>
      <c r="X97" s="31">
        <f t="shared" si="64"/>
        <v>59.094969093219525</v>
      </c>
      <c r="Y97" s="31">
        <f t="shared" si="64"/>
        <v>59.094969093219525</v>
      </c>
      <c r="Z97" s="31">
        <f t="shared" si="64"/>
        <v>59.094969093219525</v>
      </c>
      <c r="AA97" s="31">
        <f t="shared" si="64"/>
        <v>59.094969093219525</v>
      </c>
      <c r="AB97" s="31">
        <f t="shared" si="64"/>
        <v>59.094969093219525</v>
      </c>
    </row>
    <row r="98" spans="1:28" s="23" customFormat="1">
      <c r="A98" s="289" t="s">
        <v>37</v>
      </c>
      <c r="B98" s="290"/>
      <c r="C98" s="290"/>
      <c r="D98" s="290"/>
      <c r="E98" s="290"/>
      <c r="F98" s="290"/>
      <c r="G98" s="290"/>
      <c r="H98" s="31">
        <f t="shared" ref="H98:AB98" si="65">H32*H95/H93</f>
        <v>8767.4412645633165</v>
      </c>
      <c r="I98" s="31">
        <f t="shared" si="65"/>
        <v>8698.7381560362828</v>
      </c>
      <c r="J98" s="31">
        <f t="shared" si="65"/>
        <v>8765.6416147201599</v>
      </c>
      <c r="K98" s="31">
        <f t="shared" si="65"/>
        <v>8698.265786543514</v>
      </c>
      <c r="L98" s="31">
        <f t="shared" si="65"/>
        <v>8659.7864378521426</v>
      </c>
      <c r="M98" s="31">
        <f t="shared" si="65"/>
        <v>8648.7390591449057</v>
      </c>
      <c r="N98" s="31">
        <f t="shared" si="65"/>
        <v>8720.513981140386</v>
      </c>
      <c r="O98" s="31">
        <f t="shared" si="65"/>
        <v>8720.513981140386</v>
      </c>
      <c r="P98" s="31">
        <f t="shared" si="65"/>
        <v>8720.5139811403515</v>
      </c>
      <c r="Q98" s="31">
        <f t="shared" si="65"/>
        <v>8720.5139811403515</v>
      </c>
      <c r="R98" s="31">
        <f t="shared" si="65"/>
        <v>8720.5139811403515</v>
      </c>
      <c r="S98" s="31">
        <f t="shared" si="65"/>
        <v>8720.5139811403515</v>
      </c>
      <c r="T98" s="31">
        <f t="shared" si="65"/>
        <v>8720.5139811403515</v>
      </c>
      <c r="U98" s="31">
        <f t="shared" si="65"/>
        <v>8720.5139811403515</v>
      </c>
      <c r="V98" s="31">
        <f t="shared" si="65"/>
        <v>8720.5139811403515</v>
      </c>
      <c r="W98" s="31">
        <f t="shared" si="65"/>
        <v>8720.5139811403515</v>
      </c>
      <c r="X98" s="31">
        <f t="shared" si="65"/>
        <v>8720.5139811403515</v>
      </c>
      <c r="Y98" s="31">
        <f t="shared" si="65"/>
        <v>8720.5139811403515</v>
      </c>
      <c r="Z98" s="31">
        <f t="shared" si="65"/>
        <v>8720.5139811403515</v>
      </c>
      <c r="AA98" s="31">
        <f t="shared" si="65"/>
        <v>8720.5139811403515</v>
      </c>
      <c r="AB98" s="31">
        <f t="shared" si="65"/>
        <v>8720.5139811403515</v>
      </c>
    </row>
    <row r="99" spans="1:28" s="23" customFormat="1">
      <c r="A99" s="289" t="s">
        <v>35</v>
      </c>
      <c r="B99" s="290"/>
      <c r="C99" s="290"/>
      <c r="D99" s="290"/>
      <c r="E99" s="290"/>
      <c r="F99" s="290"/>
      <c r="G99" s="290"/>
      <c r="H99" s="31">
        <f>H31*H95/H93</f>
        <v>51.878350677889458</v>
      </c>
      <c r="I99" s="31">
        <f t="shared" ref="I99:AB99" si="66">I31*I95/I93</f>
        <v>51.471823408498715</v>
      </c>
      <c r="J99" s="31">
        <f t="shared" si="66"/>
        <v>51.867701862249469</v>
      </c>
      <c r="K99" s="31">
        <f t="shared" si="66"/>
        <v>51.46902832274268</v>
      </c>
      <c r="L99" s="31">
        <f t="shared" si="66"/>
        <v>51.241339868947591</v>
      </c>
      <c r="M99" s="31">
        <f t="shared" si="66"/>
        <v>51.175970764171041</v>
      </c>
      <c r="N99" s="31">
        <f t="shared" si="66"/>
        <v>51.600674444617667</v>
      </c>
      <c r="O99" s="31">
        <f t="shared" si="66"/>
        <v>51.600674444617667</v>
      </c>
      <c r="P99" s="31">
        <f t="shared" si="66"/>
        <v>51.600674444617461</v>
      </c>
      <c r="Q99" s="31">
        <f t="shared" si="66"/>
        <v>51.600674444617461</v>
      </c>
      <c r="R99" s="31">
        <f t="shared" si="66"/>
        <v>51.600674444617461</v>
      </c>
      <c r="S99" s="31">
        <f t="shared" si="66"/>
        <v>51.600674444617461</v>
      </c>
      <c r="T99" s="31">
        <f t="shared" si="66"/>
        <v>51.600674444617461</v>
      </c>
      <c r="U99" s="31">
        <f t="shared" si="66"/>
        <v>51.600674444617461</v>
      </c>
      <c r="V99" s="31">
        <f t="shared" si="66"/>
        <v>51.600674444617461</v>
      </c>
      <c r="W99" s="31">
        <f t="shared" si="66"/>
        <v>51.600674444617461</v>
      </c>
      <c r="X99" s="31">
        <f t="shared" si="66"/>
        <v>51.600674444617461</v>
      </c>
      <c r="Y99" s="31">
        <f t="shared" si="66"/>
        <v>51.600674444617461</v>
      </c>
      <c r="Z99" s="31">
        <f t="shared" si="66"/>
        <v>51.600674444617461</v>
      </c>
      <c r="AA99" s="31">
        <f t="shared" si="66"/>
        <v>51.600674444617461</v>
      </c>
      <c r="AB99" s="31">
        <f t="shared" si="66"/>
        <v>51.600674444617461</v>
      </c>
    </row>
    <row r="100" spans="1:28" s="25" customFormat="1">
      <c r="A100" s="292" t="s">
        <v>45</v>
      </c>
      <c r="B100" s="295" t="s">
        <v>38</v>
      </c>
      <c r="C100" s="296"/>
      <c r="D100" s="296"/>
      <c r="E100" s="296"/>
      <c r="F100" s="296"/>
      <c r="G100" s="297"/>
      <c r="H100" s="54">
        <f t="shared" ref="H100:AB100" si="67">H88+H96</f>
        <v>10574.444629479012</v>
      </c>
      <c r="I100" s="54">
        <f t="shared" si="67"/>
        <v>10605.211442541378</v>
      </c>
      <c r="J100" s="54">
        <f t="shared" si="67"/>
        <v>10706.037651674615</v>
      </c>
      <c r="K100" s="54">
        <f t="shared" si="67"/>
        <v>10662.826948292719</v>
      </c>
      <c r="L100" s="54">
        <f t="shared" si="67"/>
        <v>10663.955161443586</v>
      </c>
      <c r="M100" s="54">
        <f t="shared" si="67"/>
        <v>10646.440653656355</v>
      </c>
      <c r="N100" s="54">
        <f t="shared" si="67"/>
        <v>10749.096938318029</v>
      </c>
      <c r="O100" s="54">
        <f t="shared" si="67"/>
        <v>10749.096938318029</v>
      </c>
      <c r="P100" s="54">
        <f t="shared" si="67"/>
        <v>10749.096938317987</v>
      </c>
      <c r="Q100" s="54">
        <f t="shared" si="67"/>
        <v>10749.096938317987</v>
      </c>
      <c r="R100" s="54">
        <f t="shared" si="67"/>
        <v>10749.096938317987</v>
      </c>
      <c r="S100" s="54">
        <f t="shared" si="67"/>
        <v>10749.096938317987</v>
      </c>
      <c r="T100" s="54">
        <f t="shared" si="67"/>
        <v>10749.096938317987</v>
      </c>
      <c r="U100" s="54">
        <f t="shared" si="67"/>
        <v>10749.096938317987</v>
      </c>
      <c r="V100" s="54">
        <f t="shared" si="67"/>
        <v>10749.096938317987</v>
      </c>
      <c r="W100" s="54">
        <f t="shared" si="67"/>
        <v>10749.096938317987</v>
      </c>
      <c r="X100" s="54">
        <f t="shared" si="67"/>
        <v>10749.096938317987</v>
      </c>
      <c r="Y100" s="54">
        <f t="shared" si="67"/>
        <v>10749.096938317987</v>
      </c>
      <c r="Z100" s="54">
        <f t="shared" si="67"/>
        <v>10749.096938317987</v>
      </c>
      <c r="AA100" s="54">
        <f t="shared" si="67"/>
        <v>10749.096938317987</v>
      </c>
      <c r="AB100" s="54">
        <f t="shared" si="67"/>
        <v>10749.096938317987</v>
      </c>
    </row>
    <row r="101" spans="1:28" s="25" customFormat="1">
      <c r="A101" s="293"/>
      <c r="B101" s="295" t="s">
        <v>44</v>
      </c>
      <c r="C101" s="296"/>
      <c r="D101" s="296"/>
      <c r="E101" s="296"/>
      <c r="F101" s="296"/>
      <c r="G101" s="297"/>
      <c r="H101" s="54">
        <f t="shared" ref="H101:AB101" si="68">H90+H98</f>
        <v>9561.448462999133</v>
      </c>
      <c r="I101" s="54">
        <f t="shared" si="68"/>
        <v>9471.5133932491117</v>
      </c>
      <c r="J101" s="54">
        <f t="shared" si="68"/>
        <v>9543.8758883187438</v>
      </c>
      <c r="K101" s="54">
        <f t="shared" si="68"/>
        <v>9474.5394620658662</v>
      </c>
      <c r="L101" s="54">
        <f t="shared" si="68"/>
        <v>9426.3992457688619</v>
      </c>
      <c r="M101" s="54">
        <f t="shared" si="68"/>
        <v>9410.7318975810176</v>
      </c>
      <c r="N101" s="54">
        <f t="shared" si="68"/>
        <v>9482.5068195764979</v>
      </c>
      <c r="O101" s="54">
        <f t="shared" si="68"/>
        <v>9482.5068195764979</v>
      </c>
      <c r="P101" s="54">
        <f t="shared" si="68"/>
        <v>9482.5068195764634</v>
      </c>
      <c r="Q101" s="54">
        <f t="shared" si="68"/>
        <v>9482.5068195764634</v>
      </c>
      <c r="R101" s="54">
        <f t="shared" si="68"/>
        <v>9482.5068195764634</v>
      </c>
      <c r="S101" s="54">
        <f t="shared" si="68"/>
        <v>9482.5068195764634</v>
      </c>
      <c r="T101" s="54">
        <f t="shared" si="68"/>
        <v>9482.5068195764634</v>
      </c>
      <c r="U101" s="54">
        <f t="shared" si="68"/>
        <v>9482.5068195764634</v>
      </c>
      <c r="V101" s="54">
        <f t="shared" si="68"/>
        <v>9482.5068195764634</v>
      </c>
      <c r="W101" s="54">
        <f t="shared" si="68"/>
        <v>9482.5068195764634</v>
      </c>
      <c r="X101" s="54">
        <f t="shared" si="68"/>
        <v>9482.5068195764634</v>
      </c>
      <c r="Y101" s="54">
        <f t="shared" si="68"/>
        <v>9482.5068195764634</v>
      </c>
      <c r="Z101" s="54">
        <f t="shared" si="68"/>
        <v>9482.5068195764634</v>
      </c>
      <c r="AA101" s="54">
        <f t="shared" si="68"/>
        <v>9482.5068195764634</v>
      </c>
      <c r="AB101" s="54">
        <f t="shared" si="68"/>
        <v>9482.5068195764634</v>
      </c>
    </row>
    <row r="102" spans="1:28" s="25" customFormat="1">
      <c r="A102" s="293"/>
      <c r="B102" s="298" t="s">
        <v>39</v>
      </c>
      <c r="C102" s="299"/>
      <c r="D102" s="299"/>
      <c r="E102" s="299"/>
      <c r="F102" s="299"/>
      <c r="G102" s="300"/>
      <c r="H102" s="55">
        <f>H100+H101</f>
        <v>20135.893092478145</v>
      </c>
      <c r="I102" s="55">
        <f t="shared" ref="I102:AB102" si="69">I100+I101</f>
        <v>20076.72483579049</v>
      </c>
      <c r="J102" s="55">
        <f t="shared" si="69"/>
        <v>20249.913539993358</v>
      </c>
      <c r="K102" s="55">
        <f t="shared" si="69"/>
        <v>20137.366410358583</v>
      </c>
      <c r="L102" s="55">
        <f t="shared" si="69"/>
        <v>20090.35440721245</v>
      </c>
      <c r="M102" s="55">
        <f t="shared" si="69"/>
        <v>20057.172551237374</v>
      </c>
      <c r="N102" s="55">
        <f t="shared" si="69"/>
        <v>20231.603757894525</v>
      </c>
      <c r="O102" s="55">
        <f t="shared" si="69"/>
        <v>20231.603757894525</v>
      </c>
      <c r="P102" s="55">
        <f t="shared" si="69"/>
        <v>20231.603757894452</v>
      </c>
      <c r="Q102" s="55">
        <f t="shared" si="69"/>
        <v>20231.603757894452</v>
      </c>
      <c r="R102" s="55">
        <f t="shared" si="69"/>
        <v>20231.603757894452</v>
      </c>
      <c r="S102" s="55">
        <f t="shared" si="69"/>
        <v>20231.603757894452</v>
      </c>
      <c r="T102" s="55">
        <f t="shared" si="69"/>
        <v>20231.603757894452</v>
      </c>
      <c r="U102" s="55">
        <f t="shared" si="69"/>
        <v>20231.603757894452</v>
      </c>
      <c r="V102" s="55">
        <f t="shared" si="69"/>
        <v>20231.603757894452</v>
      </c>
      <c r="W102" s="55">
        <f t="shared" si="69"/>
        <v>20231.603757894452</v>
      </c>
      <c r="X102" s="55">
        <f t="shared" si="69"/>
        <v>20231.603757894452</v>
      </c>
      <c r="Y102" s="55">
        <f t="shared" si="69"/>
        <v>20231.603757894452</v>
      </c>
      <c r="Z102" s="55">
        <f t="shared" si="69"/>
        <v>20231.603757894452</v>
      </c>
      <c r="AA102" s="55">
        <f t="shared" si="69"/>
        <v>20231.603757894452</v>
      </c>
      <c r="AB102" s="55">
        <f t="shared" si="69"/>
        <v>20231.603757894452</v>
      </c>
    </row>
    <row r="103" spans="1:28" s="25" customFormat="1">
      <c r="A103" s="56"/>
      <c r="B103" s="294" t="s">
        <v>55</v>
      </c>
      <c r="C103" s="294"/>
      <c r="D103" s="294"/>
      <c r="E103" s="294"/>
      <c r="F103" s="294"/>
      <c r="G103" s="294"/>
      <c r="H103" s="26">
        <f t="shared" ref="H103:AB103" si="70">H102-(H32+H29)</f>
        <v>0</v>
      </c>
      <c r="I103" s="26">
        <f t="shared" si="70"/>
        <v>0</v>
      </c>
      <c r="J103" s="26">
        <f t="shared" si="70"/>
        <v>0</v>
      </c>
      <c r="K103" s="26">
        <f t="shared" si="70"/>
        <v>0</v>
      </c>
      <c r="L103" s="26">
        <f t="shared" si="70"/>
        <v>0</v>
      </c>
      <c r="M103" s="26">
        <f t="shared" si="70"/>
        <v>0</v>
      </c>
      <c r="N103" s="26">
        <f t="shared" si="70"/>
        <v>0</v>
      </c>
      <c r="O103" s="26">
        <f t="shared" si="70"/>
        <v>0</v>
      </c>
      <c r="P103" s="26">
        <f t="shared" si="70"/>
        <v>0</v>
      </c>
      <c r="Q103" s="26">
        <f t="shared" si="70"/>
        <v>0</v>
      </c>
      <c r="R103" s="26">
        <f t="shared" si="70"/>
        <v>0</v>
      </c>
      <c r="S103" s="26">
        <f t="shared" si="70"/>
        <v>0</v>
      </c>
      <c r="T103" s="26">
        <f t="shared" si="70"/>
        <v>0</v>
      </c>
      <c r="U103" s="26">
        <f t="shared" si="70"/>
        <v>0</v>
      </c>
      <c r="V103" s="26">
        <f t="shared" si="70"/>
        <v>0</v>
      </c>
      <c r="W103" s="26">
        <f t="shared" si="70"/>
        <v>0</v>
      </c>
      <c r="X103" s="26">
        <f t="shared" si="70"/>
        <v>0</v>
      </c>
      <c r="Y103" s="26">
        <f t="shared" si="70"/>
        <v>0</v>
      </c>
      <c r="Z103" s="26">
        <f t="shared" si="70"/>
        <v>0</v>
      </c>
      <c r="AA103" s="26">
        <f t="shared" si="70"/>
        <v>0</v>
      </c>
      <c r="AB103" s="26">
        <f t="shared" si="70"/>
        <v>0</v>
      </c>
    </row>
    <row r="104" spans="1:28">
      <c r="A104" s="2"/>
      <c r="B104" s="279" t="s">
        <v>56</v>
      </c>
      <c r="C104" s="280"/>
      <c r="D104" s="280"/>
      <c r="E104" s="280"/>
      <c r="F104" s="280"/>
      <c r="G104" s="281"/>
      <c r="H104" s="7">
        <f>H99+H97-H31</f>
        <v>0</v>
      </c>
      <c r="I104" s="7">
        <f t="shared" ref="I104:AB104" si="71">I99+I97-I31</f>
        <v>0</v>
      </c>
      <c r="J104" s="7">
        <f t="shared" si="71"/>
        <v>0</v>
      </c>
      <c r="K104" s="7">
        <f t="shared" si="71"/>
        <v>0</v>
      </c>
      <c r="L104" s="7">
        <f t="shared" si="71"/>
        <v>0</v>
      </c>
      <c r="M104" s="7">
        <f t="shared" si="71"/>
        <v>0</v>
      </c>
      <c r="N104" s="7">
        <f t="shared" si="71"/>
        <v>0</v>
      </c>
      <c r="O104" s="7">
        <f t="shared" si="71"/>
        <v>0</v>
      </c>
      <c r="P104" s="7">
        <f t="shared" si="71"/>
        <v>0</v>
      </c>
      <c r="Q104" s="7">
        <f t="shared" si="71"/>
        <v>0</v>
      </c>
      <c r="R104" s="7">
        <f t="shared" si="71"/>
        <v>0</v>
      </c>
      <c r="S104" s="7">
        <f t="shared" si="71"/>
        <v>0</v>
      </c>
      <c r="T104" s="7">
        <f t="shared" si="71"/>
        <v>0</v>
      </c>
      <c r="U104" s="7">
        <f t="shared" si="71"/>
        <v>0</v>
      </c>
      <c r="V104" s="7">
        <f t="shared" si="71"/>
        <v>0</v>
      </c>
      <c r="W104" s="7">
        <f t="shared" si="71"/>
        <v>0</v>
      </c>
      <c r="X104" s="7">
        <f t="shared" si="71"/>
        <v>0</v>
      </c>
      <c r="Y104" s="7">
        <f t="shared" si="71"/>
        <v>0</v>
      </c>
      <c r="Z104" s="7">
        <f t="shared" si="71"/>
        <v>0</v>
      </c>
      <c r="AA104" s="7">
        <f t="shared" si="71"/>
        <v>0</v>
      </c>
      <c r="AB104" s="7">
        <f t="shared" si="71"/>
        <v>0</v>
      </c>
    </row>
    <row r="105" spans="1:28">
      <c r="A105" s="2"/>
      <c r="B105" s="279" t="s">
        <v>57</v>
      </c>
      <c r="C105" s="280"/>
      <c r="D105" s="280"/>
      <c r="E105" s="280"/>
      <c r="F105" s="280"/>
      <c r="G105" s="281"/>
      <c r="H105" s="10">
        <f>H89+H91-H28</f>
        <v>0</v>
      </c>
      <c r="I105" s="10">
        <f t="shared" ref="I105:AB105" si="72">I89+I91-I28</f>
        <v>0</v>
      </c>
      <c r="J105" s="10">
        <f t="shared" si="72"/>
        <v>0</v>
      </c>
      <c r="K105" s="10">
        <f t="shared" si="72"/>
        <v>0</v>
      </c>
      <c r="L105" s="10">
        <f t="shared" si="72"/>
        <v>0</v>
      </c>
      <c r="M105" s="10">
        <f t="shared" si="72"/>
        <v>0</v>
      </c>
      <c r="N105" s="10">
        <f t="shared" si="72"/>
        <v>0</v>
      </c>
      <c r="O105" s="10">
        <f t="shared" si="72"/>
        <v>0</v>
      </c>
      <c r="P105" s="10">
        <f t="shared" si="72"/>
        <v>0</v>
      </c>
      <c r="Q105" s="10">
        <f t="shared" si="72"/>
        <v>0</v>
      </c>
      <c r="R105" s="10">
        <f t="shared" si="72"/>
        <v>0</v>
      </c>
      <c r="S105" s="10">
        <f t="shared" si="72"/>
        <v>0</v>
      </c>
      <c r="T105" s="10">
        <f t="shared" si="72"/>
        <v>0</v>
      </c>
      <c r="U105" s="10">
        <f t="shared" si="72"/>
        <v>0</v>
      </c>
      <c r="V105" s="10">
        <f t="shared" si="72"/>
        <v>0</v>
      </c>
      <c r="W105" s="10">
        <f t="shared" si="72"/>
        <v>0</v>
      </c>
      <c r="X105" s="10">
        <f t="shared" si="72"/>
        <v>0</v>
      </c>
      <c r="Y105" s="10">
        <f t="shared" si="72"/>
        <v>0</v>
      </c>
      <c r="Z105" s="10">
        <f t="shared" si="72"/>
        <v>0</v>
      </c>
      <c r="AA105" s="10">
        <f t="shared" si="72"/>
        <v>0</v>
      </c>
      <c r="AB105" s="10">
        <f t="shared" si="72"/>
        <v>0</v>
      </c>
    </row>
  </sheetData>
  <mergeCells count="33">
    <mergeCell ref="A99:G99"/>
    <mergeCell ref="A91:G91"/>
    <mergeCell ref="B104:G104"/>
    <mergeCell ref="B105:G105"/>
    <mergeCell ref="A100:A102"/>
    <mergeCell ref="B103:G103"/>
    <mergeCell ref="B100:G100"/>
    <mergeCell ref="B101:G101"/>
    <mergeCell ref="B102:G102"/>
    <mergeCell ref="A95:G95"/>
    <mergeCell ref="A96:G96"/>
    <mergeCell ref="A98:G98"/>
    <mergeCell ref="A97:G97"/>
    <mergeCell ref="A92:G92"/>
    <mergeCell ref="A93:G93"/>
    <mergeCell ref="A94:G94"/>
    <mergeCell ref="D1:AB1"/>
    <mergeCell ref="A2:A3"/>
    <mergeCell ref="B2:B3"/>
    <mergeCell ref="C2:C3"/>
    <mergeCell ref="A84:G84"/>
    <mergeCell ref="A90:G90"/>
    <mergeCell ref="A52:A83"/>
    <mergeCell ref="A34:A51"/>
    <mergeCell ref="A4:A33"/>
    <mergeCell ref="C80:G83"/>
    <mergeCell ref="C63:G65"/>
    <mergeCell ref="C62:G62"/>
    <mergeCell ref="A89:G89"/>
    <mergeCell ref="A85:G85"/>
    <mergeCell ref="A86:G86"/>
    <mergeCell ref="A87:G87"/>
    <mergeCell ref="A88:G88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3:AA18"/>
  <sheetViews>
    <sheetView workbookViewId="0">
      <selection activeCell="D17" sqref="D17"/>
    </sheetView>
  </sheetViews>
  <sheetFormatPr baseColWidth="10" defaultColWidth="9.140625" defaultRowHeight="15"/>
  <cols>
    <col min="1" max="1" width="24.7109375" customWidth="1"/>
  </cols>
  <sheetData>
    <row r="3" spans="1:27" ht="15.75">
      <c r="A3" s="58" t="s">
        <v>58</v>
      </c>
    </row>
    <row r="4" spans="1:27">
      <c r="A4" s="2"/>
      <c r="B4" s="2"/>
      <c r="C4" s="2">
        <v>2013</v>
      </c>
      <c r="D4" s="2">
        <v>2014</v>
      </c>
      <c r="E4" s="2">
        <v>2015</v>
      </c>
      <c r="F4" s="2">
        <v>2016</v>
      </c>
      <c r="G4" s="2">
        <v>2017</v>
      </c>
      <c r="H4" s="2">
        <v>2018</v>
      </c>
      <c r="I4" s="2">
        <v>2019</v>
      </c>
      <c r="J4" s="2">
        <v>2020</v>
      </c>
      <c r="K4" s="2">
        <v>2021</v>
      </c>
      <c r="L4" s="2">
        <v>2022</v>
      </c>
      <c r="M4" s="2">
        <v>2023</v>
      </c>
      <c r="N4" s="2">
        <v>2024</v>
      </c>
      <c r="O4" s="2">
        <v>2025</v>
      </c>
      <c r="P4" s="2">
        <v>2026</v>
      </c>
      <c r="Q4" s="2">
        <v>2027</v>
      </c>
      <c r="R4" s="2">
        <v>2028</v>
      </c>
      <c r="S4" s="2">
        <v>2029</v>
      </c>
      <c r="T4" s="2">
        <v>2030</v>
      </c>
      <c r="U4" s="2">
        <v>2031</v>
      </c>
      <c r="V4" s="2">
        <v>2032</v>
      </c>
      <c r="W4" s="2">
        <v>2033</v>
      </c>
      <c r="X4" s="2">
        <v>2034</v>
      </c>
      <c r="Y4" s="2">
        <v>2035</v>
      </c>
      <c r="Z4" s="11">
        <v>2036</v>
      </c>
      <c r="AA4" s="2">
        <v>2037</v>
      </c>
    </row>
    <row r="5" spans="1:27">
      <c r="A5" s="2" t="s">
        <v>59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>
      <c r="A6" s="2" t="s">
        <v>60</v>
      </c>
      <c r="B6" s="2" t="s">
        <v>61</v>
      </c>
      <c r="C6" s="2">
        <v>150</v>
      </c>
      <c r="D6" s="2">
        <f>C6</f>
        <v>150</v>
      </c>
      <c r="E6" s="2">
        <f t="shared" ref="E6:F6" si="0">D6</f>
        <v>150</v>
      </c>
      <c r="F6" s="2">
        <f t="shared" si="0"/>
        <v>150</v>
      </c>
      <c r="G6" s="2"/>
      <c r="H6" s="2" t="s">
        <v>62</v>
      </c>
      <c r="I6" s="2" t="s">
        <v>63</v>
      </c>
      <c r="J6" s="2" t="s">
        <v>63</v>
      </c>
      <c r="K6" s="2" t="s">
        <v>62</v>
      </c>
      <c r="L6" s="2" t="s">
        <v>63</v>
      </c>
      <c r="M6" s="2" t="s">
        <v>63</v>
      </c>
      <c r="N6" s="2" t="s">
        <v>63</v>
      </c>
      <c r="O6" s="2" t="s">
        <v>63</v>
      </c>
      <c r="P6" s="2" t="s">
        <v>63</v>
      </c>
      <c r="Q6" s="2" t="s">
        <v>63</v>
      </c>
      <c r="R6" s="2" t="s">
        <v>63</v>
      </c>
      <c r="S6" s="2" t="s">
        <v>63</v>
      </c>
      <c r="T6" s="2" t="s">
        <v>63</v>
      </c>
      <c r="U6" s="2" t="s">
        <v>63</v>
      </c>
      <c r="V6" s="2" t="s">
        <v>64</v>
      </c>
      <c r="W6" s="2" t="s">
        <v>63</v>
      </c>
      <c r="X6" s="2" t="s">
        <v>63</v>
      </c>
      <c r="Y6" s="2" t="s">
        <v>63</v>
      </c>
      <c r="Z6" s="2" t="s">
        <v>63</v>
      </c>
      <c r="AA6" s="2"/>
    </row>
    <row r="7" spans="1:27">
      <c r="A7" s="2" t="s">
        <v>65</v>
      </c>
      <c r="B7" s="2" t="s">
        <v>61</v>
      </c>
      <c r="C7" s="2" t="s">
        <v>66</v>
      </c>
      <c r="D7" s="2" t="s">
        <v>63</v>
      </c>
      <c r="E7" s="2" t="s">
        <v>67</v>
      </c>
      <c r="F7" s="2" t="s">
        <v>67</v>
      </c>
      <c r="G7" s="2">
        <f>SUM($C$6:$F$6)*0.03</f>
        <v>18</v>
      </c>
      <c r="H7" s="2">
        <f t="shared" ref="H7:AA7" si="1">SUM($C$6:$F$6)*0.03</f>
        <v>18</v>
      </c>
      <c r="I7" s="2">
        <f t="shared" si="1"/>
        <v>18</v>
      </c>
      <c r="J7" s="2">
        <f t="shared" si="1"/>
        <v>18</v>
      </c>
      <c r="K7" s="2">
        <f t="shared" si="1"/>
        <v>18</v>
      </c>
      <c r="L7" s="2">
        <f t="shared" si="1"/>
        <v>18</v>
      </c>
      <c r="M7" s="2">
        <f t="shared" si="1"/>
        <v>18</v>
      </c>
      <c r="N7" s="2">
        <f t="shared" si="1"/>
        <v>18</v>
      </c>
      <c r="O7" s="2">
        <f t="shared" si="1"/>
        <v>18</v>
      </c>
      <c r="P7" s="2">
        <f t="shared" si="1"/>
        <v>18</v>
      </c>
      <c r="Q7" s="2">
        <f t="shared" si="1"/>
        <v>18</v>
      </c>
      <c r="R7" s="2">
        <f t="shared" si="1"/>
        <v>18</v>
      </c>
      <c r="S7" s="2">
        <f t="shared" si="1"/>
        <v>18</v>
      </c>
      <c r="T7" s="2">
        <f t="shared" si="1"/>
        <v>18</v>
      </c>
      <c r="U7" s="2">
        <f t="shared" si="1"/>
        <v>18</v>
      </c>
      <c r="V7" s="2">
        <f t="shared" si="1"/>
        <v>18</v>
      </c>
      <c r="W7" s="2">
        <f t="shared" si="1"/>
        <v>18</v>
      </c>
      <c r="X7" s="2">
        <f t="shared" si="1"/>
        <v>18</v>
      </c>
      <c r="Y7" s="2">
        <f t="shared" si="1"/>
        <v>18</v>
      </c>
      <c r="Z7" s="2">
        <f t="shared" si="1"/>
        <v>18</v>
      </c>
      <c r="AA7" s="2">
        <f t="shared" si="1"/>
        <v>18</v>
      </c>
    </row>
    <row r="8" spans="1:27">
      <c r="A8" s="2" t="s">
        <v>68</v>
      </c>
      <c r="B8" s="2" t="s">
        <v>61</v>
      </c>
      <c r="C8" s="2" t="s">
        <v>66</v>
      </c>
      <c r="D8" s="2" t="s">
        <v>63</v>
      </c>
      <c r="E8" s="2" t="s">
        <v>67</v>
      </c>
      <c r="F8" s="2" t="s">
        <v>67</v>
      </c>
      <c r="G8" s="2" t="s">
        <v>67</v>
      </c>
      <c r="H8" s="2" t="s">
        <v>62</v>
      </c>
      <c r="I8" s="2" t="s">
        <v>63</v>
      </c>
      <c r="J8" s="2" t="s">
        <v>63</v>
      </c>
      <c r="K8" s="2" t="s">
        <v>62</v>
      </c>
      <c r="L8" s="2" t="s">
        <v>63</v>
      </c>
      <c r="M8" s="2" t="s">
        <v>63</v>
      </c>
      <c r="N8" s="2" t="s">
        <v>63</v>
      </c>
      <c r="O8" s="2" t="s">
        <v>63</v>
      </c>
      <c r="P8" s="2" t="s">
        <v>63</v>
      </c>
      <c r="Q8" s="2"/>
      <c r="R8" s="2" t="s">
        <v>63</v>
      </c>
      <c r="S8" s="2" t="s">
        <v>63</v>
      </c>
      <c r="T8" s="2" t="s">
        <v>63</v>
      </c>
      <c r="U8" s="2" t="s">
        <v>63</v>
      </c>
      <c r="V8" s="2" t="s">
        <v>64</v>
      </c>
      <c r="W8" s="2" t="s">
        <v>63</v>
      </c>
      <c r="X8" s="2" t="s">
        <v>63</v>
      </c>
      <c r="Y8" s="2" t="s">
        <v>63</v>
      </c>
      <c r="Z8" s="2" t="s">
        <v>63</v>
      </c>
      <c r="AA8" s="2"/>
    </row>
    <row r="9" spans="1:27">
      <c r="A9" s="2" t="s">
        <v>69</v>
      </c>
      <c r="B9" s="2" t="s">
        <v>61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>
        <v>160</v>
      </c>
    </row>
    <row r="10" spans="1:27">
      <c r="A10" s="2" t="s">
        <v>70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>
      <c r="A11" s="61" t="s">
        <v>138</v>
      </c>
      <c r="G11" s="60">
        <f>'input data quantitative an'!H100</f>
        <v>10574.444629479012</v>
      </c>
      <c r="H11" s="60">
        <f>'input data quantitative an'!I100</f>
        <v>10605.211442541378</v>
      </c>
      <c r="I11" s="60">
        <f>'input data quantitative an'!J100</f>
        <v>10706.037651674615</v>
      </c>
      <c r="J11" s="60">
        <f>'input data quantitative an'!K100</f>
        <v>10662.826948292719</v>
      </c>
      <c r="K11" s="60">
        <f>'input data quantitative an'!L100</f>
        <v>10663.955161443586</v>
      </c>
      <c r="L11" s="60">
        <f>'input data quantitative an'!M100</f>
        <v>10646.440653656355</v>
      </c>
      <c r="M11" s="60">
        <f>'input data quantitative an'!N100</f>
        <v>10749.096938318029</v>
      </c>
      <c r="N11" s="60">
        <f>'input data quantitative an'!O100</f>
        <v>10749.096938318029</v>
      </c>
      <c r="O11" s="60">
        <f>'input data quantitative an'!P100</f>
        <v>10749.096938317987</v>
      </c>
      <c r="P11" s="60">
        <f>'input data quantitative an'!Q100</f>
        <v>10749.096938317987</v>
      </c>
      <c r="Q11" s="60">
        <f>'input data quantitative an'!R100</f>
        <v>10749.096938317987</v>
      </c>
      <c r="R11" s="60">
        <f>'input data quantitative an'!S100</f>
        <v>10749.096938317987</v>
      </c>
      <c r="S11" s="60">
        <f>'input data quantitative an'!T100</f>
        <v>10749.096938317987</v>
      </c>
      <c r="T11" s="60">
        <f>'input data quantitative an'!U100</f>
        <v>10749.096938317987</v>
      </c>
      <c r="U11" s="60">
        <f>'input data quantitative an'!V100</f>
        <v>10749.096938317987</v>
      </c>
      <c r="V11" s="60">
        <f>'input data quantitative an'!W100</f>
        <v>10749.096938317987</v>
      </c>
      <c r="W11" s="60">
        <f>'input data quantitative an'!X100</f>
        <v>10749.096938317987</v>
      </c>
      <c r="X11" s="60">
        <f>'input data quantitative an'!Y100</f>
        <v>10749.096938317987</v>
      </c>
      <c r="Y11" s="60">
        <f>'input data quantitative an'!Z100</f>
        <v>10749.096938317987</v>
      </c>
      <c r="Z11" s="60">
        <f>'input data quantitative an'!AA100</f>
        <v>10749.096938317987</v>
      </c>
      <c r="AA11" s="60">
        <f>'input data quantitative an'!AB100</f>
        <v>10749.096938317987</v>
      </c>
    </row>
    <row r="12" spans="1:27">
      <c r="A12" s="61" t="s">
        <v>139</v>
      </c>
      <c r="G12" s="60">
        <f>'input data quantitative an'!H101</f>
        <v>9561.448462999133</v>
      </c>
      <c r="H12" s="60">
        <f>'input data quantitative an'!I101</f>
        <v>9471.5133932491117</v>
      </c>
      <c r="I12" s="60">
        <f>'input data quantitative an'!J101</f>
        <v>9543.8758883187438</v>
      </c>
      <c r="J12" s="60">
        <f>'input data quantitative an'!K101</f>
        <v>9474.5394620658662</v>
      </c>
      <c r="K12" s="60">
        <f>'input data quantitative an'!L101</f>
        <v>9426.3992457688619</v>
      </c>
      <c r="L12" s="60">
        <f>'input data quantitative an'!M101</f>
        <v>9410.7318975810176</v>
      </c>
      <c r="M12" s="60">
        <f>'input data quantitative an'!N101</f>
        <v>9482.5068195764979</v>
      </c>
      <c r="N12" s="60">
        <f>'input data quantitative an'!O101</f>
        <v>9482.5068195764979</v>
      </c>
      <c r="O12" s="60">
        <f>'input data quantitative an'!P101</f>
        <v>9482.5068195764634</v>
      </c>
      <c r="P12" s="60">
        <f>'input data quantitative an'!Q101</f>
        <v>9482.5068195764634</v>
      </c>
      <c r="Q12" s="60">
        <f>'input data quantitative an'!R101</f>
        <v>9482.5068195764634</v>
      </c>
      <c r="R12" s="60">
        <f>'input data quantitative an'!S101</f>
        <v>9482.5068195764634</v>
      </c>
      <c r="S12" s="60">
        <f>'input data quantitative an'!T101</f>
        <v>9482.5068195764634</v>
      </c>
      <c r="T12" s="60">
        <f>'input data quantitative an'!U101</f>
        <v>9482.5068195764634</v>
      </c>
      <c r="U12" s="60">
        <f>'input data quantitative an'!V101</f>
        <v>9482.5068195764634</v>
      </c>
      <c r="V12" s="60">
        <f>'input data quantitative an'!W101</f>
        <v>9482.5068195764634</v>
      </c>
      <c r="W12" s="60">
        <f>'input data quantitative an'!X101</f>
        <v>9482.5068195764634</v>
      </c>
      <c r="X12" s="60">
        <f>'input data quantitative an'!Y101</f>
        <v>9482.5068195764634</v>
      </c>
      <c r="Y12" s="60">
        <f>'input data quantitative an'!Z101</f>
        <v>9482.5068195764634</v>
      </c>
      <c r="Z12" s="60">
        <f>'input data quantitative an'!AA101</f>
        <v>9482.5068195764634</v>
      </c>
      <c r="AA12" s="60">
        <f>'input data quantitative an'!AB101</f>
        <v>9482.5068195764634</v>
      </c>
    </row>
    <row r="14" spans="1:27" ht="15.75">
      <c r="A14" s="227"/>
      <c r="B14" s="61"/>
      <c r="C14" s="61"/>
      <c r="D14" s="61"/>
      <c r="Z14">
        <f>160/(1+'[1]ec flow saved cost approach'!B16)^20</f>
        <v>54.836634132631005</v>
      </c>
    </row>
    <row r="15" spans="1:27">
      <c r="A15" s="61"/>
      <c r="B15" s="61"/>
      <c r="C15" s="61"/>
      <c r="D15" s="61"/>
    </row>
    <row r="16" spans="1:27">
      <c r="A16" s="61"/>
      <c r="B16" s="228"/>
      <c r="C16" s="228"/>
      <c r="D16" s="228"/>
    </row>
    <row r="17" spans="1:7" ht="15.75">
      <c r="A17" s="61"/>
      <c r="B17" s="229"/>
      <c r="C17" s="230"/>
      <c r="D17" s="230"/>
      <c r="G17" s="59">
        <f>75/178</f>
        <v>0.42134831460674155</v>
      </c>
    </row>
    <row r="18" spans="1:7">
      <c r="A18" s="61"/>
      <c r="B18" s="229"/>
      <c r="C18" s="231"/>
      <c r="D18" s="230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U16"/>
  <sheetViews>
    <sheetView workbookViewId="0">
      <selection activeCell="A16" sqref="A16"/>
    </sheetView>
  </sheetViews>
  <sheetFormatPr baseColWidth="10" defaultColWidth="9.140625" defaultRowHeight="15"/>
  <cols>
    <col min="1" max="1" width="22.7109375" customWidth="1"/>
  </cols>
  <sheetData>
    <row r="2" spans="1:21" ht="18.75">
      <c r="A2" s="120" t="s">
        <v>121</v>
      </c>
      <c r="B2" s="120"/>
      <c r="C2" s="120"/>
    </row>
    <row r="4" spans="1:21">
      <c r="A4" s="2"/>
      <c r="B4" s="309" t="s">
        <v>11</v>
      </c>
      <c r="C4" s="309"/>
      <c r="D4" s="309"/>
      <c r="E4" s="309"/>
      <c r="F4" s="309"/>
      <c r="G4" s="309"/>
      <c r="H4" s="309"/>
      <c r="I4" s="309"/>
      <c r="J4" s="309"/>
      <c r="K4" s="309"/>
      <c r="L4" s="309"/>
      <c r="M4" s="309"/>
      <c r="N4" s="309"/>
      <c r="O4" s="309"/>
      <c r="P4" s="309"/>
      <c r="Q4" s="309"/>
      <c r="R4" s="309"/>
      <c r="S4" s="309"/>
      <c r="T4" s="309"/>
      <c r="U4" s="309"/>
    </row>
    <row r="5" spans="1:21">
      <c r="A5" s="121" t="s">
        <v>115</v>
      </c>
      <c r="B5" s="8">
        <v>2017</v>
      </c>
      <c r="C5" s="9">
        <v>2018</v>
      </c>
      <c r="D5" s="9">
        <v>2019</v>
      </c>
      <c r="E5" s="8">
        <v>2020</v>
      </c>
      <c r="F5" s="8">
        <v>2021</v>
      </c>
      <c r="G5" s="8">
        <v>2022</v>
      </c>
      <c r="H5" s="8">
        <v>2023</v>
      </c>
      <c r="I5" s="8">
        <v>2024</v>
      </c>
      <c r="J5" s="2">
        <v>2025</v>
      </c>
      <c r="K5" s="9">
        <v>2026</v>
      </c>
      <c r="L5" s="2">
        <v>2027</v>
      </c>
      <c r="M5" s="2">
        <v>2028</v>
      </c>
      <c r="N5" s="2">
        <v>2029</v>
      </c>
      <c r="O5" s="2">
        <v>2030</v>
      </c>
      <c r="P5" s="2">
        <v>2031</v>
      </c>
      <c r="Q5" s="2">
        <v>2032</v>
      </c>
      <c r="R5" s="2">
        <v>2033</v>
      </c>
      <c r="S5" s="2">
        <v>2034</v>
      </c>
      <c r="T5" s="2">
        <v>2035</v>
      </c>
      <c r="U5" s="2">
        <v>2036</v>
      </c>
    </row>
    <row r="6" spans="1:21">
      <c r="A6" s="2" t="s">
        <v>117</v>
      </c>
      <c r="B6" s="8">
        <v>14.285714285714285</v>
      </c>
      <c r="C6" s="8">
        <v>16.93121693121693</v>
      </c>
      <c r="D6" s="8">
        <v>19.576719576719576</v>
      </c>
      <c r="E6" s="8">
        <v>22.222222222222221</v>
      </c>
      <c r="F6" s="8">
        <v>22.962962962962962</v>
      </c>
      <c r="G6" s="8">
        <v>23.703703703703702</v>
      </c>
      <c r="H6" s="8">
        <v>24.444444444444443</v>
      </c>
      <c r="I6" s="2">
        <v>25.185185185185183</v>
      </c>
      <c r="J6" s="2">
        <v>25.925925925925924</v>
      </c>
      <c r="K6" s="2">
        <v>26.666666666666664</v>
      </c>
      <c r="L6" s="2">
        <v>27.407407407407405</v>
      </c>
      <c r="M6" s="2">
        <v>28.148148148148145</v>
      </c>
      <c r="N6" s="2">
        <v>28.888888888888886</v>
      </c>
      <c r="O6" s="2">
        <v>29.629629629629626</v>
      </c>
      <c r="P6" s="2">
        <v>30.370370370370367</v>
      </c>
      <c r="Q6" s="2">
        <v>31.111111111111111</v>
      </c>
      <c r="R6" s="2">
        <v>31.851851851851851</v>
      </c>
      <c r="S6" s="2">
        <v>32.592592592592588</v>
      </c>
      <c r="T6" s="2">
        <v>33.333333333333329</v>
      </c>
      <c r="U6" s="2">
        <v>33.333333333333329</v>
      </c>
    </row>
    <row r="7" spans="1:21">
      <c r="A7" s="2" t="s">
        <v>118</v>
      </c>
      <c r="B7" s="8">
        <v>28308.241363142926</v>
      </c>
      <c r="C7" s="8">
        <v>28560.993518170984</v>
      </c>
      <c r="D7" s="8">
        <v>28813.745673199046</v>
      </c>
      <c r="E7" s="8">
        <v>29066.497828227108</v>
      </c>
      <c r="F7" s="8">
        <v>29268.699552249556</v>
      </c>
      <c r="G7" s="8">
        <v>29470.901276272009</v>
      </c>
      <c r="H7" s="8">
        <v>29673.103000294454</v>
      </c>
      <c r="I7" s="2">
        <v>29875.304724316906</v>
      </c>
      <c r="J7" s="2">
        <v>30077.506448339358</v>
      </c>
      <c r="K7" s="2">
        <v>30229.157741356194</v>
      </c>
      <c r="L7" s="2">
        <v>30380.809034373033</v>
      </c>
      <c r="M7" s="2">
        <v>30532.460327389868</v>
      </c>
      <c r="N7" s="2">
        <v>30684.111620406704</v>
      </c>
      <c r="O7" s="2">
        <v>30835.762913423547</v>
      </c>
      <c r="P7" s="2">
        <v>30987.414206440382</v>
      </c>
      <c r="Q7" s="2">
        <v>31139.065499457218</v>
      </c>
      <c r="R7" s="2">
        <v>31290.71679247405</v>
      </c>
      <c r="S7" s="2">
        <v>31442.368085490893</v>
      </c>
      <c r="T7" s="2">
        <v>31594.019378507728</v>
      </c>
      <c r="U7" s="2">
        <v>31594.019378507724</v>
      </c>
    </row>
    <row r="8" spans="1:21">
      <c r="A8" s="2" t="s">
        <v>119</v>
      </c>
      <c r="B8" s="8">
        <v>51154.684095860561</v>
      </c>
      <c r="C8" s="8">
        <v>51459.694989106749</v>
      </c>
      <c r="D8" s="8">
        <v>51764.705882352944</v>
      </c>
      <c r="E8" s="8">
        <v>52069.716775599125</v>
      </c>
      <c r="F8" s="8">
        <v>52278.867102396514</v>
      </c>
      <c r="G8" s="8">
        <v>52488.017429193897</v>
      </c>
      <c r="H8" s="8">
        <v>52697.167755991286</v>
      </c>
      <c r="I8" s="2">
        <v>52906.318082788675</v>
      </c>
      <c r="J8" s="2">
        <v>53115.46840958605</v>
      </c>
      <c r="K8" s="2">
        <v>53263.616557734204</v>
      </c>
      <c r="L8" s="2">
        <v>53411.76470588235</v>
      </c>
      <c r="M8" s="2">
        <v>53559.912854030496</v>
      </c>
      <c r="N8" s="2">
        <v>53708.061002178642</v>
      </c>
      <c r="O8" s="2">
        <v>53856.209150326795</v>
      </c>
      <c r="P8" s="2">
        <v>53978.213507625267</v>
      </c>
      <c r="Q8" s="2">
        <v>54100.217864923747</v>
      </c>
      <c r="R8" s="2">
        <v>54222.222222222219</v>
      </c>
      <c r="S8" s="2">
        <v>54344.226579520691</v>
      </c>
      <c r="T8" s="2">
        <v>54466.230936819171</v>
      </c>
      <c r="U8" s="2">
        <v>54466.230936819171</v>
      </c>
    </row>
    <row r="9" spans="1:21">
      <c r="A9" s="2" t="s">
        <v>120</v>
      </c>
      <c r="B9" s="8">
        <v>10391.603659886876</v>
      </c>
      <c r="C9" s="8">
        <v>10457.792218230106</v>
      </c>
      <c r="D9" s="8">
        <v>10523.980776573335</v>
      </c>
      <c r="E9" s="8">
        <v>10590.169334916562</v>
      </c>
      <c r="F9" s="8">
        <v>10609.080351586057</v>
      </c>
      <c r="G9" s="8">
        <v>10627.991368255551</v>
      </c>
      <c r="H9" s="8">
        <v>10646.902384925044</v>
      </c>
      <c r="I9" s="2">
        <v>10665.813401594538</v>
      </c>
      <c r="J9" s="2">
        <v>10684.724418264032</v>
      </c>
      <c r="K9" s="2">
        <v>10703.635434933525</v>
      </c>
      <c r="L9" s="2">
        <v>10722.546451603019</v>
      </c>
      <c r="M9" s="2">
        <v>10741.457468272512</v>
      </c>
      <c r="N9" s="2">
        <v>10760.368484942008</v>
      </c>
      <c r="O9" s="2">
        <v>10779.279501611501</v>
      </c>
      <c r="P9" s="2">
        <v>10798.190518280997</v>
      </c>
      <c r="Q9" s="2">
        <v>10817.101534950489</v>
      </c>
      <c r="R9" s="2">
        <v>10836.012551619982</v>
      </c>
      <c r="S9" s="2">
        <v>10854.923568289476</v>
      </c>
      <c r="T9" s="2">
        <v>10873.834584958971</v>
      </c>
      <c r="U9" s="2">
        <v>10873.834584958971</v>
      </c>
    </row>
    <row r="10" spans="1:21" ht="30">
      <c r="A10" s="24" t="s">
        <v>126</v>
      </c>
      <c r="B10" s="8">
        <v>1520</v>
      </c>
      <c r="C10" s="8">
        <f>B10</f>
        <v>1520</v>
      </c>
      <c r="D10" s="8">
        <f t="shared" ref="D10:U10" si="0">C10</f>
        <v>1520</v>
      </c>
      <c r="E10" s="8">
        <f t="shared" si="0"/>
        <v>1520</v>
      </c>
      <c r="F10" s="8">
        <f t="shared" si="0"/>
        <v>1520</v>
      </c>
      <c r="G10" s="8">
        <f t="shared" si="0"/>
        <v>1520</v>
      </c>
      <c r="H10" s="8">
        <f t="shared" si="0"/>
        <v>1520</v>
      </c>
      <c r="I10" s="8">
        <f t="shared" si="0"/>
        <v>1520</v>
      </c>
      <c r="J10" s="8">
        <f t="shared" si="0"/>
        <v>1520</v>
      </c>
      <c r="K10" s="8">
        <f t="shared" si="0"/>
        <v>1520</v>
      </c>
      <c r="L10" s="8">
        <f t="shared" si="0"/>
        <v>1520</v>
      </c>
      <c r="M10" s="8">
        <f t="shared" si="0"/>
        <v>1520</v>
      </c>
      <c r="N10" s="8">
        <f t="shared" si="0"/>
        <v>1520</v>
      </c>
      <c r="O10" s="8">
        <f t="shared" si="0"/>
        <v>1520</v>
      </c>
      <c r="P10" s="8">
        <f t="shared" si="0"/>
        <v>1520</v>
      </c>
      <c r="Q10" s="8">
        <f t="shared" si="0"/>
        <v>1520</v>
      </c>
      <c r="R10" s="8">
        <f t="shared" si="0"/>
        <v>1520</v>
      </c>
      <c r="S10" s="8">
        <f t="shared" si="0"/>
        <v>1520</v>
      </c>
      <c r="T10" s="8">
        <f t="shared" si="0"/>
        <v>1520</v>
      </c>
      <c r="U10" s="8">
        <f t="shared" si="0"/>
        <v>1520</v>
      </c>
    </row>
    <row r="11" spans="1:21">
      <c r="A11" s="135"/>
    </row>
    <row r="13" spans="1:21">
      <c r="A13" s="235" t="s">
        <v>190</v>
      </c>
      <c r="I13" s="236"/>
      <c r="J13" s="236"/>
      <c r="K13" s="236"/>
    </row>
    <row r="14" spans="1:21">
      <c r="A14" s="235" t="s">
        <v>191</v>
      </c>
      <c r="B14" s="236"/>
      <c r="C14" s="236"/>
      <c r="D14" s="236"/>
      <c r="E14" s="236"/>
      <c r="F14" s="236"/>
      <c r="G14" s="236"/>
      <c r="H14" s="236"/>
      <c r="I14" s="236"/>
      <c r="J14" s="236"/>
      <c r="K14" s="236"/>
    </row>
    <row r="15" spans="1:21">
      <c r="A15" s="235" t="s">
        <v>192</v>
      </c>
      <c r="B15" s="236"/>
      <c r="C15" s="236"/>
      <c r="D15" s="236"/>
      <c r="E15" s="236"/>
      <c r="F15" s="236"/>
      <c r="G15" s="236"/>
      <c r="H15" s="236"/>
    </row>
    <row r="16" spans="1:21">
      <c r="A16" s="237"/>
    </row>
  </sheetData>
  <mergeCells count="1">
    <mergeCell ref="B4:U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AJ57"/>
  <sheetViews>
    <sheetView topLeftCell="A34" zoomScale="89" zoomScaleNormal="89" workbookViewId="0">
      <selection activeCell="C57" sqref="C57"/>
    </sheetView>
  </sheetViews>
  <sheetFormatPr baseColWidth="10" defaultColWidth="9.140625" defaultRowHeight="15.75"/>
  <cols>
    <col min="1" max="1" width="3.5703125" style="62" customWidth="1"/>
    <col min="2" max="2" width="74.85546875" style="62" customWidth="1"/>
    <col min="3" max="3" width="19.42578125" style="62" customWidth="1"/>
    <col min="4" max="4" width="11.7109375" style="62" customWidth="1"/>
    <col min="5" max="5" width="13.7109375" style="62" customWidth="1"/>
    <col min="6" max="6" width="16.5703125" style="62" customWidth="1"/>
    <col min="7" max="7" width="23.5703125" style="62" customWidth="1"/>
    <col min="8" max="8" width="8.85546875" style="62" customWidth="1"/>
    <col min="9" max="9" width="13.28515625" style="62" customWidth="1"/>
    <col min="10" max="10" width="12.28515625" style="62" customWidth="1"/>
    <col min="11" max="11" width="13.85546875" style="62" customWidth="1"/>
    <col min="12" max="12" width="13.28515625" style="62" customWidth="1"/>
    <col min="13" max="13" width="23.5703125" style="62" bestFit="1" customWidth="1"/>
    <col min="14" max="14" width="12.28515625" style="62" customWidth="1"/>
    <col min="15" max="15" width="13.28515625" style="62" bestFit="1" customWidth="1"/>
    <col min="16" max="16" width="23.5703125" style="62" bestFit="1" customWidth="1"/>
    <col min="17" max="17" width="9.140625" style="62"/>
    <col min="18" max="18" width="13.28515625" style="62" bestFit="1" customWidth="1"/>
    <col min="19" max="19" width="23.5703125" style="62" bestFit="1" customWidth="1"/>
    <col min="20" max="20" width="9.140625" style="62"/>
    <col min="21" max="21" width="13.28515625" style="62" bestFit="1" customWidth="1"/>
    <col min="22" max="22" width="10.140625" style="62" bestFit="1" customWidth="1"/>
    <col min="23" max="23" width="9.140625" style="62"/>
    <col min="24" max="36" width="13.140625" style="62" bestFit="1" customWidth="1"/>
    <col min="37" max="16384" width="9.140625" style="62"/>
  </cols>
  <sheetData>
    <row r="2" spans="1:36">
      <c r="A2" s="221"/>
      <c r="B2" s="224" t="s">
        <v>15</v>
      </c>
      <c r="C2" s="314">
        <v>2017</v>
      </c>
      <c r="D2" s="315"/>
      <c r="E2" s="316"/>
      <c r="F2" s="314">
        <v>2018</v>
      </c>
      <c r="G2" s="315"/>
      <c r="H2" s="316"/>
      <c r="I2" s="311">
        <v>2019</v>
      </c>
      <c r="J2" s="312"/>
      <c r="K2" s="313"/>
      <c r="L2" s="311">
        <v>2020</v>
      </c>
      <c r="M2" s="312"/>
      <c r="N2" s="313"/>
      <c r="O2" s="311">
        <v>2021</v>
      </c>
      <c r="P2" s="312"/>
      <c r="Q2" s="313"/>
      <c r="R2" s="311">
        <v>2022</v>
      </c>
      <c r="S2" s="312"/>
      <c r="T2" s="313"/>
      <c r="U2" s="311">
        <v>2023</v>
      </c>
      <c r="V2" s="312"/>
      <c r="W2" s="312"/>
      <c r="X2" s="132">
        <v>2024</v>
      </c>
      <c r="Y2" s="132">
        <v>2025</v>
      </c>
      <c r="Z2" s="132">
        <v>2026</v>
      </c>
      <c r="AA2" s="132">
        <v>2027</v>
      </c>
      <c r="AB2" s="132">
        <v>2028</v>
      </c>
      <c r="AC2" s="132">
        <v>2029</v>
      </c>
      <c r="AD2" s="132">
        <v>2030</v>
      </c>
      <c r="AE2" s="132">
        <v>2031</v>
      </c>
      <c r="AF2" s="132">
        <v>2032</v>
      </c>
      <c r="AG2" s="132">
        <v>2033</v>
      </c>
      <c r="AH2" s="132">
        <v>2034</v>
      </c>
      <c r="AI2" s="132">
        <v>2035</v>
      </c>
      <c r="AJ2" s="132">
        <v>2036</v>
      </c>
    </row>
    <row r="3" spans="1:36" ht="16.5" customHeight="1">
      <c r="A3" s="310" t="s">
        <v>88</v>
      </c>
      <c r="B3" s="66" t="s">
        <v>89</v>
      </c>
      <c r="C3" s="67">
        <v>40000</v>
      </c>
      <c r="D3" s="89"/>
      <c r="E3" s="90"/>
      <c r="F3" s="67"/>
      <c r="G3" s="89"/>
      <c r="H3" s="90"/>
      <c r="I3" s="67"/>
      <c r="J3" s="89"/>
      <c r="K3" s="90"/>
      <c r="L3" s="67"/>
      <c r="M3" s="101"/>
      <c r="N3" s="102"/>
      <c r="O3" s="67"/>
      <c r="P3" s="101"/>
      <c r="Q3" s="102"/>
      <c r="R3" s="67"/>
      <c r="S3" s="101"/>
      <c r="T3" s="102"/>
      <c r="U3" s="67"/>
      <c r="V3" s="101"/>
      <c r="W3" s="125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</row>
    <row r="4" spans="1:36" ht="49.5">
      <c r="A4" s="310"/>
      <c r="B4" s="103" t="s">
        <v>90</v>
      </c>
      <c r="C4" s="104"/>
      <c r="D4" s="105" t="s">
        <v>110</v>
      </c>
      <c r="E4" s="106"/>
      <c r="F4" s="104"/>
      <c r="G4" s="107" t="s">
        <v>110</v>
      </c>
      <c r="H4" s="106"/>
      <c r="I4" s="104"/>
      <c r="J4" s="107" t="s">
        <v>110</v>
      </c>
      <c r="K4" s="106"/>
      <c r="L4" s="104"/>
      <c r="M4" s="107" t="s">
        <v>110</v>
      </c>
      <c r="N4" s="106"/>
      <c r="O4" s="104"/>
      <c r="P4" s="107" t="s">
        <v>110</v>
      </c>
      <c r="Q4" s="106"/>
      <c r="R4" s="104"/>
      <c r="S4" s="107" t="s">
        <v>110</v>
      </c>
      <c r="T4" s="106"/>
      <c r="U4" s="104"/>
      <c r="V4" s="107" t="s">
        <v>110</v>
      </c>
      <c r="W4" s="126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</row>
    <row r="5" spans="1:36">
      <c r="A5" s="310"/>
      <c r="B5" s="69" t="s">
        <v>74</v>
      </c>
      <c r="C5" s="70">
        <v>0.1</v>
      </c>
      <c r="D5" s="91">
        <f>$C$3*C5</f>
        <v>4000</v>
      </c>
      <c r="E5" s="92"/>
      <c r="F5" s="70">
        <f>C5</f>
        <v>0.1</v>
      </c>
      <c r="G5" s="91">
        <f>$C$3*F5</f>
        <v>4000</v>
      </c>
      <c r="H5" s="92"/>
      <c r="I5" s="70">
        <f>F5</f>
        <v>0.1</v>
      </c>
      <c r="J5" s="91">
        <f>$C$3*I5</f>
        <v>4000</v>
      </c>
      <c r="K5" s="92"/>
      <c r="L5" s="70">
        <f>I5</f>
        <v>0.1</v>
      </c>
      <c r="M5" s="91">
        <f>$C$3*L5</f>
        <v>4000</v>
      </c>
      <c r="N5" s="92"/>
      <c r="O5" s="70">
        <f>L5</f>
        <v>0.1</v>
      </c>
      <c r="P5" s="91">
        <f>$C$3*O5</f>
        <v>4000</v>
      </c>
      <c r="Q5" s="92"/>
      <c r="R5" s="70">
        <f>O5</f>
        <v>0.1</v>
      </c>
      <c r="S5" s="91">
        <f>$C$3*R5</f>
        <v>4000</v>
      </c>
      <c r="T5" s="92"/>
      <c r="U5" s="70">
        <f>R5</f>
        <v>0.1</v>
      </c>
      <c r="V5" s="91">
        <f>$C$3*U5</f>
        <v>4000</v>
      </c>
      <c r="W5" s="127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</row>
    <row r="6" spans="1:36">
      <c r="A6" s="310"/>
      <c r="B6" s="69" t="s">
        <v>91</v>
      </c>
      <c r="C6" s="70">
        <v>0.25</v>
      </c>
      <c r="D6" s="91">
        <f t="shared" ref="D6:D7" si="0">$C$3*C6</f>
        <v>10000</v>
      </c>
      <c r="E6" s="92"/>
      <c r="F6" s="70">
        <f>C6</f>
        <v>0.25</v>
      </c>
      <c r="G6" s="91">
        <f t="shared" ref="G6:G7" si="1">$C$3*F6</f>
        <v>10000</v>
      </c>
      <c r="H6" s="92"/>
      <c r="I6" s="70">
        <f>F6</f>
        <v>0.25</v>
      </c>
      <c r="J6" s="91">
        <f t="shared" ref="J6:J7" si="2">$C$3*I6</f>
        <v>10000</v>
      </c>
      <c r="K6" s="92"/>
      <c r="L6" s="70">
        <f>I6</f>
        <v>0.25</v>
      </c>
      <c r="M6" s="91">
        <f t="shared" ref="M6:M7" si="3">$C$3*L6</f>
        <v>10000</v>
      </c>
      <c r="N6" s="92"/>
      <c r="O6" s="70">
        <f>L6</f>
        <v>0.25</v>
      </c>
      <c r="P6" s="91">
        <f t="shared" ref="P6:P7" si="4">$C$3*O6</f>
        <v>10000</v>
      </c>
      <c r="Q6" s="92"/>
      <c r="R6" s="70">
        <f>O6</f>
        <v>0.25</v>
      </c>
      <c r="S6" s="91">
        <f t="shared" ref="S6:S7" si="5">$C$3*R6</f>
        <v>10000</v>
      </c>
      <c r="T6" s="92"/>
      <c r="U6" s="70">
        <f>R6</f>
        <v>0.25</v>
      </c>
      <c r="V6" s="91">
        <f t="shared" ref="V6:V7" si="6">$C$3*U6</f>
        <v>10000</v>
      </c>
      <c r="W6" s="127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</row>
    <row r="7" spans="1:36" ht="16.5" thickBot="1">
      <c r="A7" s="310"/>
      <c r="B7" s="64" t="s">
        <v>75</v>
      </c>
      <c r="C7" s="71">
        <v>0.05</v>
      </c>
      <c r="D7" s="91">
        <f t="shared" si="0"/>
        <v>2000</v>
      </c>
      <c r="E7" s="92"/>
      <c r="F7" s="71">
        <f>C7</f>
        <v>0.05</v>
      </c>
      <c r="G7" s="91">
        <f t="shared" si="1"/>
        <v>2000</v>
      </c>
      <c r="H7" s="92"/>
      <c r="I7" s="71">
        <f>F7</f>
        <v>0.05</v>
      </c>
      <c r="J7" s="91">
        <f t="shared" si="2"/>
        <v>2000</v>
      </c>
      <c r="K7" s="92"/>
      <c r="L7" s="71">
        <f>I7</f>
        <v>0.05</v>
      </c>
      <c r="M7" s="91">
        <f t="shared" si="3"/>
        <v>2000</v>
      </c>
      <c r="N7" s="92"/>
      <c r="O7" s="71">
        <f>L7</f>
        <v>0.05</v>
      </c>
      <c r="P7" s="91">
        <f t="shared" si="4"/>
        <v>2000</v>
      </c>
      <c r="Q7" s="92"/>
      <c r="R7" s="71">
        <f>O7</f>
        <v>0.05</v>
      </c>
      <c r="S7" s="91">
        <f t="shared" si="5"/>
        <v>2000</v>
      </c>
      <c r="T7" s="92"/>
      <c r="U7" s="71">
        <f>R7</f>
        <v>0.05</v>
      </c>
      <c r="V7" s="91">
        <f t="shared" si="6"/>
        <v>2000</v>
      </c>
      <c r="W7" s="127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</row>
    <row r="8" spans="1:36" ht="16.5" customHeight="1" thickTop="1">
      <c r="A8" s="310" t="s">
        <v>92</v>
      </c>
      <c r="B8" s="66" t="s">
        <v>93</v>
      </c>
      <c r="C8" s="72"/>
      <c r="D8" s="89"/>
      <c r="E8" s="90"/>
      <c r="F8" s="72"/>
      <c r="G8" s="89"/>
      <c r="H8" s="90"/>
      <c r="I8" s="72"/>
      <c r="J8" s="89"/>
      <c r="K8" s="90"/>
      <c r="L8" s="72"/>
      <c r="M8" s="89"/>
      <c r="N8" s="90"/>
      <c r="O8" s="72"/>
      <c r="P8" s="89"/>
      <c r="Q8" s="90"/>
      <c r="R8" s="72"/>
      <c r="S8" s="89"/>
      <c r="T8" s="90"/>
      <c r="U8" s="72"/>
      <c r="V8" s="89"/>
      <c r="W8" s="128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100"/>
      <c r="AI8" s="100"/>
      <c r="AJ8" s="100"/>
    </row>
    <row r="9" spans="1:36">
      <c r="A9" s="310"/>
      <c r="B9" s="69" t="s">
        <v>74</v>
      </c>
      <c r="C9" s="70">
        <v>0.35</v>
      </c>
      <c r="D9" s="93"/>
      <c r="E9" s="92"/>
      <c r="F9" s="70">
        <v>0.35</v>
      </c>
      <c r="G9" s="93"/>
      <c r="H9" s="92"/>
      <c r="I9" s="70">
        <v>0.35</v>
      </c>
      <c r="J9" s="93"/>
      <c r="K9" s="92"/>
      <c r="L9" s="70">
        <v>0.35</v>
      </c>
      <c r="M9" s="93"/>
      <c r="N9" s="92"/>
      <c r="O9" s="70">
        <v>0.35</v>
      </c>
      <c r="P9" s="93"/>
      <c r="Q9" s="92"/>
      <c r="R9" s="70">
        <v>0.35</v>
      </c>
      <c r="S9" s="93"/>
      <c r="T9" s="92"/>
      <c r="U9" s="70">
        <v>0.35</v>
      </c>
      <c r="V9" s="93"/>
      <c r="W9" s="127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</row>
    <row r="10" spans="1:36">
      <c r="A10" s="310"/>
      <c r="B10" s="69" t="s">
        <v>91</v>
      </c>
      <c r="C10" s="70">
        <v>0.4</v>
      </c>
      <c r="D10" s="93"/>
      <c r="E10" s="92"/>
      <c r="F10" s="70">
        <v>0.4</v>
      </c>
      <c r="G10" s="93"/>
      <c r="H10" s="92"/>
      <c r="I10" s="70">
        <v>0.4</v>
      </c>
      <c r="J10" s="93"/>
      <c r="K10" s="92"/>
      <c r="L10" s="70">
        <v>0.4</v>
      </c>
      <c r="M10" s="93"/>
      <c r="N10" s="92"/>
      <c r="O10" s="70">
        <v>0.4</v>
      </c>
      <c r="P10" s="93"/>
      <c r="Q10" s="92"/>
      <c r="R10" s="70">
        <v>0.4</v>
      </c>
      <c r="S10" s="93"/>
      <c r="T10" s="92"/>
      <c r="U10" s="70">
        <v>0.4</v>
      </c>
      <c r="V10" s="93"/>
      <c r="W10" s="127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</row>
    <row r="11" spans="1:36">
      <c r="A11" s="310"/>
      <c r="B11" s="69" t="s">
        <v>75</v>
      </c>
      <c r="C11" s="70">
        <v>0.35</v>
      </c>
      <c r="D11" s="93"/>
      <c r="E11" s="92"/>
      <c r="F11" s="70">
        <v>0.35</v>
      </c>
      <c r="G11" s="93"/>
      <c r="H11" s="92"/>
      <c r="I11" s="70">
        <v>0.35</v>
      </c>
      <c r="J11" s="93"/>
      <c r="K11" s="92"/>
      <c r="L11" s="70">
        <v>0.35</v>
      </c>
      <c r="M11" s="93"/>
      <c r="N11" s="92"/>
      <c r="O11" s="70">
        <v>0.35</v>
      </c>
      <c r="P11" s="93"/>
      <c r="Q11" s="92"/>
      <c r="R11" s="70">
        <v>0.35</v>
      </c>
      <c r="S11" s="93"/>
      <c r="T11" s="92"/>
      <c r="U11" s="70">
        <v>0.35</v>
      </c>
      <c r="V11" s="93"/>
      <c r="W11" s="127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</row>
    <row r="12" spans="1:36">
      <c r="A12" s="310"/>
      <c r="B12" s="74" t="s">
        <v>94</v>
      </c>
      <c r="C12" s="73">
        <v>0.5</v>
      </c>
      <c r="D12" s="93"/>
      <c r="E12" s="92"/>
      <c r="F12" s="73">
        <v>0.5</v>
      </c>
      <c r="G12" s="93"/>
      <c r="H12" s="92"/>
      <c r="I12" s="73">
        <v>0.5</v>
      </c>
      <c r="J12" s="93"/>
      <c r="K12" s="92"/>
      <c r="L12" s="73">
        <v>0.5</v>
      </c>
      <c r="M12" s="93"/>
      <c r="N12" s="92"/>
      <c r="O12" s="73">
        <v>0.5</v>
      </c>
      <c r="P12" s="93"/>
      <c r="Q12" s="92"/>
      <c r="R12" s="73">
        <v>0.5</v>
      </c>
      <c r="S12" s="93"/>
      <c r="T12" s="92"/>
      <c r="U12" s="73">
        <v>0.5</v>
      </c>
      <c r="V12" s="93"/>
      <c r="W12" s="127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</row>
    <row r="13" spans="1:36">
      <c r="A13" s="310"/>
      <c r="B13" s="103" t="s">
        <v>111</v>
      </c>
      <c r="C13" s="104"/>
      <c r="D13" s="108"/>
      <c r="E13" s="106"/>
      <c r="F13" s="104"/>
      <c r="G13" s="108"/>
      <c r="H13" s="106"/>
      <c r="I13" s="104"/>
      <c r="J13" s="108"/>
      <c r="K13" s="106"/>
      <c r="L13" s="104"/>
      <c r="M13" s="108"/>
      <c r="N13" s="106"/>
      <c r="O13" s="104"/>
      <c r="P13" s="108"/>
      <c r="Q13" s="106"/>
      <c r="R13" s="104"/>
      <c r="S13" s="108"/>
      <c r="T13" s="106"/>
      <c r="U13" s="104"/>
      <c r="V13" s="108"/>
      <c r="W13" s="126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  <c r="AJ13" s="100"/>
    </row>
    <row r="14" spans="1:36">
      <c r="A14" s="310"/>
      <c r="B14" s="69" t="s">
        <v>74</v>
      </c>
      <c r="C14" s="75">
        <f>D5/C9</f>
        <v>11428.571428571429</v>
      </c>
      <c r="D14" s="93"/>
      <c r="E14" s="92"/>
      <c r="F14" s="75">
        <f>G5/F9</f>
        <v>11428.571428571429</v>
      </c>
      <c r="G14" s="93"/>
      <c r="H14" s="92"/>
      <c r="I14" s="75">
        <f>J5/I9</f>
        <v>11428.571428571429</v>
      </c>
      <c r="J14" s="93"/>
      <c r="K14" s="92"/>
      <c r="L14" s="75">
        <f>M5/L9</f>
        <v>11428.571428571429</v>
      </c>
      <c r="M14" s="93"/>
      <c r="N14" s="92"/>
      <c r="O14" s="75">
        <f>P5/O9</f>
        <v>11428.571428571429</v>
      </c>
      <c r="P14" s="93"/>
      <c r="Q14" s="92"/>
      <c r="R14" s="75">
        <f>S5/R9</f>
        <v>11428.571428571429</v>
      </c>
      <c r="S14" s="93"/>
      <c r="T14" s="92"/>
      <c r="U14" s="75">
        <f>V5/U9</f>
        <v>11428.571428571429</v>
      </c>
      <c r="V14" s="93"/>
      <c r="W14" s="127"/>
      <c r="X14" s="137">
        <f>U14</f>
        <v>11428.571428571429</v>
      </c>
      <c r="Y14" s="137">
        <f>X14</f>
        <v>11428.571428571429</v>
      </c>
      <c r="Z14" s="137">
        <f t="shared" ref="Z14:AJ14" si="7">Y14</f>
        <v>11428.571428571429</v>
      </c>
      <c r="AA14" s="137">
        <f t="shared" si="7"/>
        <v>11428.571428571429</v>
      </c>
      <c r="AB14" s="137">
        <f t="shared" si="7"/>
        <v>11428.571428571429</v>
      </c>
      <c r="AC14" s="137">
        <f t="shared" si="7"/>
        <v>11428.571428571429</v>
      </c>
      <c r="AD14" s="137">
        <f t="shared" si="7"/>
        <v>11428.571428571429</v>
      </c>
      <c r="AE14" s="137">
        <f t="shared" si="7"/>
        <v>11428.571428571429</v>
      </c>
      <c r="AF14" s="137">
        <f t="shared" si="7"/>
        <v>11428.571428571429</v>
      </c>
      <c r="AG14" s="137">
        <f t="shared" si="7"/>
        <v>11428.571428571429</v>
      </c>
      <c r="AH14" s="137">
        <f t="shared" si="7"/>
        <v>11428.571428571429</v>
      </c>
      <c r="AI14" s="137">
        <f t="shared" si="7"/>
        <v>11428.571428571429</v>
      </c>
      <c r="AJ14" s="137">
        <f t="shared" si="7"/>
        <v>11428.571428571429</v>
      </c>
    </row>
    <row r="15" spans="1:36">
      <c r="A15" s="310"/>
      <c r="B15" s="69" t="s">
        <v>91</v>
      </c>
      <c r="C15" s="75">
        <f>D6/C10</f>
        <v>25000</v>
      </c>
      <c r="D15" s="93"/>
      <c r="E15" s="92"/>
      <c r="F15" s="75">
        <f>G6/F10</f>
        <v>25000</v>
      </c>
      <c r="G15" s="93"/>
      <c r="H15" s="92"/>
      <c r="I15" s="75">
        <f>J6/I10</f>
        <v>25000</v>
      </c>
      <c r="J15" s="93"/>
      <c r="K15" s="92"/>
      <c r="L15" s="75">
        <f>M6/L10</f>
        <v>25000</v>
      </c>
      <c r="M15" s="93"/>
      <c r="N15" s="92"/>
      <c r="O15" s="75">
        <f>P6/O10</f>
        <v>25000</v>
      </c>
      <c r="P15" s="93"/>
      <c r="Q15" s="92"/>
      <c r="R15" s="75">
        <f>S6/R10</f>
        <v>25000</v>
      </c>
      <c r="S15" s="93"/>
      <c r="T15" s="92"/>
      <c r="U15" s="75">
        <f>V6/U10</f>
        <v>25000</v>
      </c>
      <c r="V15" s="93"/>
      <c r="W15" s="127"/>
      <c r="X15" s="137">
        <f>U15</f>
        <v>25000</v>
      </c>
      <c r="Y15" s="137">
        <f>X15</f>
        <v>25000</v>
      </c>
      <c r="Z15" s="137">
        <f t="shared" ref="Z15:AJ15" si="8">Y15</f>
        <v>25000</v>
      </c>
      <c r="AA15" s="137">
        <f t="shared" si="8"/>
        <v>25000</v>
      </c>
      <c r="AB15" s="137">
        <f t="shared" si="8"/>
        <v>25000</v>
      </c>
      <c r="AC15" s="137">
        <f t="shared" si="8"/>
        <v>25000</v>
      </c>
      <c r="AD15" s="137">
        <f t="shared" si="8"/>
        <v>25000</v>
      </c>
      <c r="AE15" s="137">
        <f t="shared" si="8"/>
        <v>25000</v>
      </c>
      <c r="AF15" s="137">
        <f t="shared" si="8"/>
        <v>25000</v>
      </c>
      <c r="AG15" s="137">
        <f t="shared" si="8"/>
        <v>25000</v>
      </c>
      <c r="AH15" s="137">
        <f t="shared" si="8"/>
        <v>25000</v>
      </c>
      <c r="AI15" s="137">
        <f t="shared" si="8"/>
        <v>25000</v>
      </c>
      <c r="AJ15" s="137">
        <f t="shared" si="8"/>
        <v>25000</v>
      </c>
    </row>
    <row r="16" spans="1:36">
      <c r="A16" s="310"/>
      <c r="B16" s="74" t="s">
        <v>75</v>
      </c>
      <c r="C16" s="76">
        <f>D7/C11</f>
        <v>5714.2857142857147</v>
      </c>
      <c r="D16" s="93"/>
      <c r="E16" s="92"/>
      <c r="F16" s="76">
        <f>G7/F11</f>
        <v>5714.2857142857147</v>
      </c>
      <c r="G16" s="93"/>
      <c r="H16" s="92"/>
      <c r="I16" s="76">
        <f>J7/I11</f>
        <v>5714.2857142857147</v>
      </c>
      <c r="J16" s="93"/>
      <c r="K16" s="92"/>
      <c r="L16" s="76">
        <f>M7/L11</f>
        <v>5714.2857142857147</v>
      </c>
      <c r="M16" s="93"/>
      <c r="N16" s="92"/>
      <c r="O16" s="76">
        <f>P7/O11</f>
        <v>5714.2857142857147</v>
      </c>
      <c r="P16" s="93"/>
      <c r="Q16" s="92"/>
      <c r="R16" s="76">
        <f>S7/R11</f>
        <v>5714.2857142857147</v>
      </c>
      <c r="S16" s="93"/>
      <c r="T16" s="92"/>
      <c r="U16" s="76">
        <f>V7/U11</f>
        <v>5714.2857142857147</v>
      </c>
      <c r="V16" s="93"/>
      <c r="W16" s="127"/>
      <c r="X16" s="137">
        <f>U16</f>
        <v>5714.2857142857147</v>
      </c>
      <c r="Y16" s="137">
        <f>X16</f>
        <v>5714.2857142857147</v>
      </c>
      <c r="Z16" s="137">
        <f t="shared" ref="Z16:AJ16" si="9">Y16</f>
        <v>5714.2857142857147</v>
      </c>
      <c r="AA16" s="137">
        <f t="shared" si="9"/>
        <v>5714.2857142857147</v>
      </c>
      <c r="AB16" s="137">
        <f t="shared" si="9"/>
        <v>5714.2857142857147</v>
      </c>
      <c r="AC16" s="137">
        <f t="shared" si="9"/>
        <v>5714.2857142857147</v>
      </c>
      <c r="AD16" s="137">
        <f t="shared" si="9"/>
        <v>5714.2857142857147</v>
      </c>
      <c r="AE16" s="137">
        <f t="shared" si="9"/>
        <v>5714.2857142857147</v>
      </c>
      <c r="AF16" s="137">
        <f t="shared" si="9"/>
        <v>5714.2857142857147</v>
      </c>
      <c r="AG16" s="137">
        <f t="shared" si="9"/>
        <v>5714.2857142857147</v>
      </c>
      <c r="AH16" s="137">
        <f t="shared" si="9"/>
        <v>5714.2857142857147</v>
      </c>
      <c r="AI16" s="137">
        <f t="shared" si="9"/>
        <v>5714.2857142857147</v>
      </c>
      <c r="AJ16" s="137">
        <f t="shared" si="9"/>
        <v>5714.2857142857147</v>
      </c>
    </row>
    <row r="17" spans="1:36">
      <c r="A17" s="310"/>
      <c r="B17" s="66" t="s">
        <v>95</v>
      </c>
      <c r="C17" s="77" t="s">
        <v>96</v>
      </c>
      <c r="D17" s="94" t="s">
        <v>97</v>
      </c>
      <c r="E17" s="95" t="s">
        <v>98</v>
      </c>
      <c r="F17" s="77" t="s">
        <v>96</v>
      </c>
      <c r="G17" s="94" t="s">
        <v>97</v>
      </c>
      <c r="H17" s="95" t="s">
        <v>98</v>
      </c>
      <c r="I17" s="77" t="s">
        <v>96</v>
      </c>
      <c r="J17" s="94" t="s">
        <v>97</v>
      </c>
      <c r="K17" s="95" t="s">
        <v>98</v>
      </c>
      <c r="L17" s="77" t="s">
        <v>96</v>
      </c>
      <c r="M17" s="94" t="s">
        <v>97</v>
      </c>
      <c r="N17" s="95" t="s">
        <v>98</v>
      </c>
      <c r="O17" s="77" t="s">
        <v>96</v>
      </c>
      <c r="P17" s="94" t="s">
        <v>97</v>
      </c>
      <c r="Q17" s="95" t="s">
        <v>98</v>
      </c>
      <c r="R17" s="77" t="s">
        <v>96</v>
      </c>
      <c r="S17" s="94" t="s">
        <v>97</v>
      </c>
      <c r="T17" s="95" t="s">
        <v>98</v>
      </c>
      <c r="U17" s="77" t="s">
        <v>96</v>
      </c>
      <c r="V17" s="94" t="s">
        <v>97</v>
      </c>
      <c r="W17" s="129" t="s">
        <v>98</v>
      </c>
      <c r="X17" s="100"/>
      <c r="Y17" s="100"/>
      <c r="Z17" s="100"/>
      <c r="AA17" s="100"/>
      <c r="AB17" s="100"/>
      <c r="AC17" s="100"/>
      <c r="AD17" s="100"/>
      <c r="AE17" s="100"/>
      <c r="AF17" s="100"/>
      <c r="AG17" s="100"/>
      <c r="AH17" s="100"/>
      <c r="AI17" s="100"/>
      <c r="AJ17" s="100"/>
    </row>
    <row r="18" spans="1:36">
      <c r="A18" s="310"/>
      <c r="B18" s="69" t="s">
        <v>73</v>
      </c>
      <c r="C18" s="75">
        <v>56100</v>
      </c>
      <c r="D18" s="96">
        <v>15583.345800000001</v>
      </c>
      <c r="E18" s="92"/>
      <c r="F18" s="75">
        <v>56100</v>
      </c>
      <c r="G18" s="96">
        <v>15583.345800000001</v>
      </c>
      <c r="H18" s="92"/>
      <c r="I18" s="75">
        <v>56100</v>
      </c>
      <c r="J18" s="96">
        <v>15583.345800000001</v>
      </c>
      <c r="K18" s="92"/>
      <c r="L18" s="75">
        <v>56100</v>
      </c>
      <c r="M18" s="96">
        <v>15583.345800000001</v>
      </c>
      <c r="N18" s="92"/>
      <c r="O18" s="75">
        <v>56100</v>
      </c>
      <c r="P18" s="96">
        <v>15583.345800000001</v>
      </c>
      <c r="Q18" s="92"/>
      <c r="R18" s="75">
        <v>56100</v>
      </c>
      <c r="S18" s="96">
        <v>15583.345800000001</v>
      </c>
      <c r="T18" s="92"/>
      <c r="U18" s="75">
        <v>56100</v>
      </c>
      <c r="V18" s="96">
        <v>15583.345800000001</v>
      </c>
      <c r="W18" s="127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</row>
    <row r="19" spans="1:36">
      <c r="A19" s="310"/>
      <c r="B19" s="69" t="s">
        <v>74</v>
      </c>
      <c r="C19" s="75">
        <v>94600</v>
      </c>
      <c r="D19" s="96">
        <v>26277.798800000004</v>
      </c>
      <c r="E19" s="92"/>
      <c r="F19" s="75">
        <v>94600</v>
      </c>
      <c r="G19" s="96">
        <v>26277.798800000004</v>
      </c>
      <c r="H19" s="92"/>
      <c r="I19" s="75">
        <v>94600</v>
      </c>
      <c r="J19" s="96">
        <v>26277.798800000004</v>
      </c>
      <c r="K19" s="92"/>
      <c r="L19" s="75">
        <v>94600</v>
      </c>
      <c r="M19" s="96">
        <v>26277.798800000004</v>
      </c>
      <c r="N19" s="92"/>
      <c r="O19" s="75">
        <v>94600</v>
      </c>
      <c r="P19" s="96">
        <v>26277.798800000004</v>
      </c>
      <c r="Q19" s="92"/>
      <c r="R19" s="75">
        <v>94600</v>
      </c>
      <c r="S19" s="96">
        <v>26277.798800000004</v>
      </c>
      <c r="T19" s="92"/>
      <c r="U19" s="75">
        <v>94600</v>
      </c>
      <c r="V19" s="96">
        <v>26277.798800000004</v>
      </c>
      <c r="W19" s="127"/>
      <c r="X19" s="100"/>
      <c r="Y19" s="100"/>
      <c r="Z19" s="100"/>
      <c r="AA19" s="100"/>
      <c r="AB19" s="100"/>
      <c r="AC19" s="100"/>
      <c r="AD19" s="100"/>
      <c r="AE19" s="100"/>
      <c r="AF19" s="100"/>
      <c r="AG19" s="100"/>
      <c r="AH19" s="100"/>
      <c r="AI19" s="100"/>
      <c r="AJ19" s="100"/>
    </row>
    <row r="20" spans="1:36">
      <c r="A20" s="310"/>
      <c r="B20" s="69" t="s">
        <v>99</v>
      </c>
      <c r="C20" s="75">
        <v>77400</v>
      </c>
      <c r="D20" s="96">
        <v>21500.017200000002</v>
      </c>
      <c r="E20" s="92"/>
      <c r="F20" s="75">
        <v>77400</v>
      </c>
      <c r="G20" s="96">
        <v>21500.017200000002</v>
      </c>
      <c r="H20" s="92"/>
      <c r="I20" s="75">
        <v>77400</v>
      </c>
      <c r="J20" s="96">
        <v>21500.017200000002</v>
      </c>
      <c r="K20" s="92"/>
      <c r="L20" s="75">
        <v>77400</v>
      </c>
      <c r="M20" s="96">
        <v>21500.017200000002</v>
      </c>
      <c r="N20" s="92"/>
      <c r="O20" s="75">
        <v>77400</v>
      </c>
      <c r="P20" s="96">
        <v>21500.017200000002</v>
      </c>
      <c r="Q20" s="92"/>
      <c r="R20" s="75">
        <v>77400</v>
      </c>
      <c r="S20" s="96">
        <v>21500.017200000002</v>
      </c>
      <c r="T20" s="92"/>
      <c r="U20" s="75">
        <v>77400</v>
      </c>
      <c r="V20" s="96">
        <v>21500.017200000002</v>
      </c>
      <c r="W20" s="127"/>
      <c r="X20" s="100"/>
      <c r="Y20" s="100"/>
      <c r="Z20" s="100"/>
      <c r="AA20" s="100"/>
      <c r="AB20" s="100"/>
      <c r="AC20" s="100"/>
      <c r="AD20" s="100"/>
      <c r="AE20" s="100"/>
      <c r="AF20" s="100"/>
      <c r="AG20" s="100"/>
      <c r="AH20" s="100"/>
      <c r="AI20" s="100"/>
      <c r="AJ20" s="100"/>
    </row>
    <row r="21" spans="1:36">
      <c r="A21" s="310"/>
      <c r="B21" s="74" t="s">
        <v>75</v>
      </c>
      <c r="C21" s="76">
        <v>101000</v>
      </c>
      <c r="D21" s="96">
        <v>28055.578000000001</v>
      </c>
      <c r="E21" s="92"/>
      <c r="F21" s="76">
        <v>101000</v>
      </c>
      <c r="G21" s="96">
        <v>28055.578000000001</v>
      </c>
      <c r="H21" s="92"/>
      <c r="I21" s="76">
        <v>101000</v>
      </c>
      <c r="J21" s="96">
        <v>28055.578000000001</v>
      </c>
      <c r="K21" s="92"/>
      <c r="L21" s="76">
        <v>101000</v>
      </c>
      <c r="M21" s="96">
        <v>28055.578000000001</v>
      </c>
      <c r="N21" s="92"/>
      <c r="O21" s="76">
        <v>101000</v>
      </c>
      <c r="P21" s="96">
        <v>28055.578000000001</v>
      </c>
      <c r="Q21" s="92"/>
      <c r="R21" s="76">
        <v>101000</v>
      </c>
      <c r="S21" s="96">
        <v>28055.578000000001</v>
      </c>
      <c r="T21" s="92"/>
      <c r="U21" s="76">
        <v>101000</v>
      </c>
      <c r="V21" s="96">
        <v>28055.578000000001</v>
      </c>
      <c r="W21" s="127"/>
      <c r="X21" s="100"/>
      <c r="Y21" s="100"/>
      <c r="Z21" s="100"/>
      <c r="AA21" s="100"/>
      <c r="AB21" s="100"/>
      <c r="AC21" s="100"/>
      <c r="AD21" s="100"/>
      <c r="AE21" s="100"/>
      <c r="AF21" s="100"/>
      <c r="AG21" s="100"/>
      <c r="AH21" s="100"/>
      <c r="AI21" s="100"/>
      <c r="AJ21" s="100"/>
    </row>
    <row r="22" spans="1:36">
      <c r="A22" s="310"/>
      <c r="B22" s="103" t="s">
        <v>100</v>
      </c>
      <c r="C22" s="104"/>
      <c r="D22" s="108"/>
      <c r="E22" s="106"/>
      <c r="F22" s="104"/>
      <c r="G22" s="108"/>
      <c r="H22" s="106"/>
      <c r="I22" s="104"/>
      <c r="J22" s="108"/>
      <c r="K22" s="106"/>
      <c r="L22" s="104"/>
      <c r="M22" s="108"/>
      <c r="N22" s="106"/>
      <c r="O22" s="104"/>
      <c r="P22" s="108"/>
      <c r="Q22" s="106"/>
      <c r="R22" s="104"/>
      <c r="S22" s="108"/>
      <c r="T22" s="106"/>
      <c r="U22" s="104"/>
      <c r="V22" s="108"/>
      <c r="W22" s="126"/>
      <c r="X22" s="100"/>
      <c r="Y22" s="100"/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</row>
    <row r="23" spans="1:36">
      <c r="A23" s="310"/>
      <c r="B23" s="69" t="s">
        <v>74</v>
      </c>
      <c r="C23" s="78">
        <f>C14*D19/1000</f>
        <v>300317.70057142864</v>
      </c>
      <c r="D23" s="93"/>
      <c r="E23" s="92"/>
      <c r="F23" s="78">
        <f>F14*G19/1000</f>
        <v>300317.70057142864</v>
      </c>
      <c r="G23" s="93"/>
      <c r="H23" s="92"/>
      <c r="I23" s="78">
        <f>I14*J19/1000</f>
        <v>300317.70057142864</v>
      </c>
      <c r="J23" s="93"/>
      <c r="K23" s="92"/>
      <c r="L23" s="78">
        <f>L14*M19/1000</f>
        <v>300317.70057142864</v>
      </c>
      <c r="M23" s="93"/>
      <c r="N23" s="92"/>
      <c r="O23" s="78">
        <f>O14*P19/1000</f>
        <v>300317.70057142864</v>
      </c>
      <c r="P23" s="93"/>
      <c r="Q23" s="92"/>
      <c r="R23" s="78">
        <f>R14*S19/1000</f>
        <v>300317.70057142864</v>
      </c>
      <c r="S23" s="93"/>
      <c r="T23" s="92"/>
      <c r="U23" s="78">
        <f>U14*V19/1000</f>
        <v>300317.70057142864</v>
      </c>
      <c r="V23" s="93"/>
      <c r="W23" s="127"/>
      <c r="X23" s="100"/>
      <c r="Y23" s="100"/>
      <c r="Z23" s="100"/>
      <c r="AA23" s="100"/>
      <c r="AB23" s="100"/>
      <c r="AC23" s="100"/>
      <c r="AD23" s="100"/>
      <c r="AE23" s="100"/>
      <c r="AF23" s="100"/>
      <c r="AG23" s="100"/>
      <c r="AH23" s="100"/>
      <c r="AI23" s="100"/>
      <c r="AJ23" s="100"/>
    </row>
    <row r="24" spans="1:36">
      <c r="A24" s="310"/>
      <c r="B24" s="69" t="s">
        <v>99</v>
      </c>
      <c r="C24" s="78">
        <f>C15*D20/1000</f>
        <v>537500.43000000005</v>
      </c>
      <c r="D24" s="93"/>
      <c r="E24" s="92"/>
      <c r="F24" s="78">
        <f>F15*G20/1000</f>
        <v>537500.43000000005</v>
      </c>
      <c r="G24" s="93"/>
      <c r="H24" s="92"/>
      <c r="I24" s="78">
        <f>I15*J20/1000</f>
        <v>537500.43000000005</v>
      </c>
      <c r="J24" s="93"/>
      <c r="K24" s="92"/>
      <c r="L24" s="78">
        <f>L15*M20/1000</f>
        <v>537500.43000000005</v>
      </c>
      <c r="M24" s="93"/>
      <c r="N24" s="92"/>
      <c r="O24" s="78">
        <f>O15*P20/1000</f>
        <v>537500.43000000005</v>
      </c>
      <c r="P24" s="93"/>
      <c r="Q24" s="92"/>
      <c r="R24" s="78">
        <f>R15*S20/1000</f>
        <v>537500.43000000005</v>
      </c>
      <c r="S24" s="93"/>
      <c r="T24" s="92"/>
      <c r="U24" s="78">
        <f>U15*V20/1000</f>
        <v>537500.43000000005</v>
      </c>
      <c r="V24" s="93"/>
      <c r="W24" s="127"/>
      <c r="X24" s="100"/>
      <c r="Y24" s="100"/>
      <c r="Z24" s="100"/>
      <c r="AA24" s="100"/>
      <c r="AB24" s="100"/>
      <c r="AC24" s="100"/>
      <c r="AD24" s="100"/>
      <c r="AE24" s="100"/>
      <c r="AF24" s="100"/>
      <c r="AG24" s="100"/>
      <c r="AH24" s="100"/>
      <c r="AI24" s="100"/>
      <c r="AJ24" s="100"/>
    </row>
    <row r="25" spans="1:36">
      <c r="A25" s="310"/>
      <c r="B25" s="74" t="s">
        <v>75</v>
      </c>
      <c r="C25" s="79">
        <f>C16*D21/1000</f>
        <v>160317.58857142858</v>
      </c>
      <c r="D25" s="93"/>
      <c r="E25" s="92"/>
      <c r="F25" s="79">
        <f>F16*G21/1000</f>
        <v>160317.58857142858</v>
      </c>
      <c r="G25" s="93"/>
      <c r="H25" s="92"/>
      <c r="I25" s="79">
        <f>I16*J21/1000</f>
        <v>160317.58857142858</v>
      </c>
      <c r="J25" s="93"/>
      <c r="K25" s="92"/>
      <c r="L25" s="79">
        <f>L16*M21/1000</f>
        <v>160317.58857142858</v>
      </c>
      <c r="M25" s="93"/>
      <c r="N25" s="92"/>
      <c r="O25" s="79">
        <f>O16*P21/1000</f>
        <v>160317.58857142858</v>
      </c>
      <c r="P25" s="93"/>
      <c r="Q25" s="92"/>
      <c r="R25" s="79">
        <f>R16*S21/1000</f>
        <v>160317.58857142858</v>
      </c>
      <c r="S25" s="93"/>
      <c r="T25" s="92"/>
      <c r="U25" s="79">
        <f>U16*V21/1000</f>
        <v>160317.58857142858</v>
      </c>
      <c r="V25" s="93"/>
      <c r="W25" s="127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0"/>
      <c r="AI25" s="100"/>
      <c r="AJ25" s="100"/>
    </row>
    <row r="26" spans="1:36" ht="16.5" thickBot="1">
      <c r="A26" s="310"/>
      <c r="B26" s="109" t="s">
        <v>101</v>
      </c>
      <c r="C26" s="110">
        <f>SUM(C23:C25)</f>
        <v>998135.71914285724</v>
      </c>
      <c r="D26" s="111"/>
      <c r="E26" s="112"/>
      <c r="F26" s="110">
        <f>SUM(F23:F25)</f>
        <v>998135.71914285724</v>
      </c>
      <c r="G26" s="111"/>
      <c r="H26" s="112"/>
      <c r="I26" s="110">
        <f>SUM(I23:I25)</f>
        <v>998135.71914285724</v>
      </c>
      <c r="J26" s="111"/>
      <c r="K26" s="112"/>
      <c r="L26" s="110">
        <f>SUM(L23:L25)</f>
        <v>998135.71914285724</v>
      </c>
      <c r="M26" s="111"/>
      <c r="N26" s="112"/>
      <c r="O26" s="110">
        <f>SUM(O23:O25)</f>
        <v>998135.71914285724</v>
      </c>
      <c r="P26" s="111"/>
      <c r="Q26" s="112"/>
      <c r="R26" s="110">
        <f>SUM(R23:R25)</f>
        <v>998135.71914285724</v>
      </c>
      <c r="S26" s="111"/>
      <c r="T26" s="112"/>
      <c r="U26" s="110">
        <f>SUM(U23:U25)</f>
        <v>998135.71914285724</v>
      </c>
      <c r="V26" s="111"/>
      <c r="W26" s="13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0"/>
    </row>
    <row r="27" spans="1:36" ht="16.5" customHeight="1" thickTop="1">
      <c r="A27" s="310" t="s">
        <v>102</v>
      </c>
      <c r="B27" s="103" t="s">
        <v>103</v>
      </c>
      <c r="C27" s="113"/>
      <c r="D27" s="108"/>
      <c r="E27" s="106"/>
      <c r="F27" s="113"/>
      <c r="G27" s="108"/>
      <c r="H27" s="106"/>
      <c r="I27" s="113"/>
      <c r="J27" s="108"/>
      <c r="K27" s="106"/>
      <c r="L27" s="113"/>
      <c r="M27" s="108"/>
      <c r="N27" s="106"/>
      <c r="O27" s="113"/>
      <c r="P27" s="108"/>
      <c r="Q27" s="106"/>
      <c r="R27" s="113"/>
      <c r="S27" s="108"/>
      <c r="T27" s="106"/>
      <c r="U27" s="113"/>
      <c r="V27" s="108"/>
      <c r="W27" s="126"/>
      <c r="X27" s="100"/>
      <c r="Y27" s="100"/>
      <c r="Z27" s="100"/>
      <c r="AA27" s="100"/>
      <c r="AB27" s="100"/>
      <c r="AC27" s="100"/>
      <c r="AD27" s="100"/>
      <c r="AE27" s="100"/>
      <c r="AF27" s="100"/>
      <c r="AG27" s="100"/>
      <c r="AH27" s="100"/>
      <c r="AI27" s="100"/>
      <c r="AJ27" s="100"/>
    </row>
    <row r="28" spans="1:36">
      <c r="A28" s="310"/>
      <c r="B28" s="69" t="s">
        <v>74</v>
      </c>
      <c r="C28" s="75">
        <f>D5/$C$12</f>
        <v>8000</v>
      </c>
      <c r="D28" s="93"/>
      <c r="E28" s="92"/>
      <c r="F28" s="75">
        <f>G5/$C$12</f>
        <v>8000</v>
      </c>
      <c r="G28" s="93"/>
      <c r="H28" s="92"/>
      <c r="I28" s="75">
        <f>J5/$C$12</f>
        <v>8000</v>
      </c>
      <c r="J28" s="93"/>
      <c r="K28" s="92"/>
      <c r="L28" s="75">
        <f>M5/$C$12</f>
        <v>8000</v>
      </c>
      <c r="M28" s="93"/>
      <c r="N28" s="92"/>
      <c r="O28" s="75">
        <f>P5/$C$12</f>
        <v>8000</v>
      </c>
      <c r="P28" s="93"/>
      <c r="Q28" s="92"/>
      <c r="R28" s="75">
        <f>S5/$C$12</f>
        <v>8000</v>
      </c>
      <c r="S28" s="93"/>
      <c r="T28" s="92"/>
      <c r="U28" s="75">
        <f>V5/$C$12</f>
        <v>8000</v>
      </c>
      <c r="V28" s="93"/>
      <c r="W28" s="127"/>
      <c r="X28" s="100"/>
      <c r="Y28" s="100"/>
      <c r="Z28" s="100"/>
      <c r="AA28" s="100"/>
      <c r="AB28" s="100"/>
      <c r="AC28" s="100"/>
      <c r="AD28" s="100"/>
      <c r="AE28" s="100"/>
      <c r="AF28" s="100"/>
      <c r="AG28" s="100"/>
      <c r="AH28" s="100"/>
      <c r="AI28" s="100"/>
      <c r="AJ28" s="100"/>
    </row>
    <row r="29" spans="1:36">
      <c r="A29" s="310"/>
      <c r="B29" s="69" t="s">
        <v>91</v>
      </c>
      <c r="C29" s="75">
        <f>D6/$C$12</f>
        <v>20000</v>
      </c>
      <c r="D29" s="93"/>
      <c r="E29" s="92"/>
      <c r="F29" s="75">
        <f>G6/$C$12</f>
        <v>20000</v>
      </c>
      <c r="G29" s="93"/>
      <c r="H29" s="92"/>
      <c r="I29" s="75">
        <f>J6/$C$12</f>
        <v>20000</v>
      </c>
      <c r="J29" s="93"/>
      <c r="K29" s="92"/>
      <c r="L29" s="75">
        <f>M6/$C$12</f>
        <v>20000</v>
      </c>
      <c r="M29" s="93"/>
      <c r="N29" s="92"/>
      <c r="O29" s="75">
        <f>P6/$C$12</f>
        <v>20000</v>
      </c>
      <c r="P29" s="93"/>
      <c r="Q29" s="92"/>
      <c r="R29" s="75">
        <f>S6/$C$12</f>
        <v>20000</v>
      </c>
      <c r="S29" s="93"/>
      <c r="T29" s="92"/>
      <c r="U29" s="75">
        <f>V6/$C$12</f>
        <v>20000</v>
      </c>
      <c r="V29" s="93"/>
      <c r="W29" s="127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</row>
    <row r="30" spans="1:36">
      <c r="A30" s="310"/>
      <c r="B30" s="74" t="s">
        <v>75</v>
      </c>
      <c r="C30" s="76">
        <f>D7/$C$12</f>
        <v>4000</v>
      </c>
      <c r="D30" s="93"/>
      <c r="E30" s="92"/>
      <c r="F30" s="76">
        <f>G7/$C$12</f>
        <v>4000</v>
      </c>
      <c r="G30" s="93"/>
      <c r="H30" s="92"/>
      <c r="I30" s="76">
        <f>J7/$C$12</f>
        <v>4000</v>
      </c>
      <c r="J30" s="93"/>
      <c r="K30" s="92"/>
      <c r="L30" s="76">
        <f>M7/$C$12</f>
        <v>4000</v>
      </c>
      <c r="M30" s="93"/>
      <c r="N30" s="92"/>
      <c r="O30" s="76">
        <f>P7/$C$12</f>
        <v>4000</v>
      </c>
      <c r="P30" s="93"/>
      <c r="Q30" s="92"/>
      <c r="R30" s="76">
        <f>S7/$C$12</f>
        <v>4000</v>
      </c>
      <c r="S30" s="93"/>
      <c r="T30" s="92"/>
      <c r="U30" s="76">
        <f>V7/$C$12</f>
        <v>4000</v>
      </c>
      <c r="V30" s="93"/>
      <c r="W30" s="127"/>
      <c r="X30" s="100"/>
      <c r="Y30" s="100"/>
      <c r="Z30" s="100"/>
      <c r="AA30" s="100"/>
      <c r="AB30" s="100"/>
      <c r="AC30" s="100"/>
      <c r="AD30" s="100"/>
      <c r="AE30" s="100"/>
      <c r="AF30" s="100"/>
      <c r="AG30" s="100"/>
      <c r="AH30" s="100"/>
      <c r="AI30" s="100"/>
      <c r="AJ30" s="100"/>
    </row>
    <row r="31" spans="1:36">
      <c r="A31" s="310"/>
      <c r="B31" s="217" t="s">
        <v>104</v>
      </c>
      <c r="C31" s="119">
        <f>'input ec analysis'!G11</f>
        <v>10574.444629479012</v>
      </c>
      <c r="D31" s="97"/>
      <c r="E31" s="98"/>
      <c r="F31" s="119">
        <f>'input ec analysis'!H11</f>
        <v>10605.211442541378</v>
      </c>
      <c r="G31" s="97"/>
      <c r="H31" s="98"/>
      <c r="I31" s="119">
        <f>'input ec analysis'!I11</f>
        <v>10706.037651674615</v>
      </c>
      <c r="J31" s="97"/>
      <c r="K31" s="98"/>
      <c r="L31" s="80">
        <f>'input ec analysis'!J11</f>
        <v>10662.826948292719</v>
      </c>
      <c r="M31" s="97"/>
      <c r="N31" s="98"/>
      <c r="O31" s="119">
        <f>'input ec analysis'!K11</f>
        <v>10663.955161443586</v>
      </c>
      <c r="P31" s="97"/>
      <c r="Q31" s="98"/>
      <c r="R31" s="119">
        <f>'input ec analysis'!L11</f>
        <v>10646.440653656355</v>
      </c>
      <c r="S31" s="97"/>
      <c r="T31" s="98"/>
      <c r="U31" s="119">
        <f>'input ec analysis'!M11</f>
        <v>10749.096938318029</v>
      </c>
      <c r="V31" s="97"/>
      <c r="W31" s="131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0"/>
      <c r="AI31" s="100"/>
      <c r="AJ31" s="100"/>
    </row>
    <row r="32" spans="1:36">
      <c r="A32" s="310"/>
      <c r="B32" s="114" t="s">
        <v>105</v>
      </c>
      <c r="C32" s="113"/>
      <c r="D32" s="108"/>
      <c r="E32" s="106"/>
      <c r="F32" s="113"/>
      <c r="G32" s="108"/>
      <c r="H32" s="106"/>
      <c r="I32" s="113"/>
      <c r="J32" s="108"/>
      <c r="K32" s="106"/>
      <c r="L32" s="113"/>
      <c r="M32" s="108"/>
      <c r="N32" s="106"/>
      <c r="O32" s="113"/>
      <c r="P32" s="108"/>
      <c r="Q32" s="106"/>
      <c r="R32" s="113"/>
      <c r="S32" s="108"/>
      <c r="T32" s="106"/>
      <c r="U32" s="113"/>
      <c r="V32" s="108"/>
      <c r="W32" s="126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</row>
    <row r="33" spans="1:36">
      <c r="A33" s="310"/>
      <c r="B33" s="81" t="s">
        <v>74</v>
      </c>
      <c r="C33" s="82">
        <f>C28*2/3</f>
        <v>5333.333333333333</v>
      </c>
      <c r="D33" s="93"/>
      <c r="E33" s="92"/>
      <c r="F33" s="82">
        <f>F28*2/3</f>
        <v>5333.333333333333</v>
      </c>
      <c r="G33" s="93"/>
      <c r="H33" s="92"/>
      <c r="I33" s="82">
        <f>I28*2/3</f>
        <v>5333.333333333333</v>
      </c>
      <c r="J33" s="93"/>
      <c r="K33" s="92"/>
      <c r="L33" s="82">
        <f>L28*2/3</f>
        <v>5333.333333333333</v>
      </c>
      <c r="M33" s="93"/>
      <c r="N33" s="92"/>
      <c r="O33" s="82">
        <f>O28*2/3</f>
        <v>5333.333333333333</v>
      </c>
      <c r="P33" s="93"/>
      <c r="Q33" s="92"/>
      <c r="R33" s="82">
        <f>R28*2/3</f>
        <v>5333.333333333333</v>
      </c>
      <c r="S33" s="93"/>
      <c r="T33" s="92"/>
      <c r="U33" s="82">
        <f>U28*2/3</f>
        <v>5333.333333333333</v>
      </c>
      <c r="V33" s="93"/>
      <c r="W33" s="127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</row>
    <row r="34" spans="1:36">
      <c r="A34" s="310"/>
      <c r="B34" s="81" t="s">
        <v>99</v>
      </c>
      <c r="C34" s="75">
        <f>C29*2/3</f>
        <v>13333.333333333334</v>
      </c>
      <c r="D34" s="93"/>
      <c r="E34" s="92"/>
      <c r="F34" s="75">
        <f>F29*2/3</f>
        <v>13333.333333333334</v>
      </c>
      <c r="G34" s="93"/>
      <c r="H34" s="92"/>
      <c r="I34" s="75">
        <f>I29*2/3</f>
        <v>13333.333333333334</v>
      </c>
      <c r="J34" s="93"/>
      <c r="K34" s="92"/>
      <c r="L34" s="75">
        <f>L29*2/3</f>
        <v>13333.333333333334</v>
      </c>
      <c r="M34" s="93"/>
      <c r="N34" s="92"/>
      <c r="O34" s="75">
        <f>O29*2/3</f>
        <v>13333.333333333334</v>
      </c>
      <c r="P34" s="93"/>
      <c r="Q34" s="92"/>
      <c r="R34" s="75">
        <f>R29*2/3</f>
        <v>13333.333333333334</v>
      </c>
      <c r="S34" s="93"/>
      <c r="T34" s="92"/>
      <c r="U34" s="75">
        <f>U29*2/3</f>
        <v>13333.333333333334</v>
      </c>
      <c r="V34" s="93"/>
      <c r="W34" s="127"/>
      <c r="X34" s="100"/>
      <c r="Y34" s="100"/>
      <c r="Z34" s="100"/>
      <c r="AA34" s="100"/>
      <c r="AB34" s="100"/>
      <c r="AC34" s="100"/>
      <c r="AD34" s="100"/>
      <c r="AE34" s="100"/>
      <c r="AF34" s="100"/>
      <c r="AG34" s="100"/>
      <c r="AH34" s="100"/>
      <c r="AI34" s="100"/>
      <c r="AJ34" s="100"/>
    </row>
    <row r="35" spans="1:36">
      <c r="A35" s="310"/>
      <c r="B35" s="74" t="s">
        <v>75</v>
      </c>
      <c r="C35" s="76">
        <f>C30*2/3</f>
        <v>2666.6666666666665</v>
      </c>
      <c r="D35" s="93"/>
      <c r="E35" s="92"/>
      <c r="F35" s="76">
        <f>F30*2/3</f>
        <v>2666.6666666666665</v>
      </c>
      <c r="G35" s="93"/>
      <c r="H35" s="92"/>
      <c r="I35" s="76">
        <f>I30*2/3</f>
        <v>2666.6666666666665</v>
      </c>
      <c r="J35" s="93"/>
      <c r="K35" s="92"/>
      <c r="L35" s="76">
        <f>L30*2/3</f>
        <v>2666.6666666666665</v>
      </c>
      <c r="M35" s="93"/>
      <c r="N35" s="92"/>
      <c r="O35" s="76">
        <f>O30*2/3</f>
        <v>2666.6666666666665</v>
      </c>
      <c r="P35" s="93"/>
      <c r="Q35" s="92"/>
      <c r="R35" s="76">
        <f>R30*2/3</f>
        <v>2666.6666666666665</v>
      </c>
      <c r="S35" s="93"/>
      <c r="T35" s="92"/>
      <c r="U35" s="76">
        <f>U30*2/3</f>
        <v>2666.6666666666665</v>
      </c>
      <c r="V35" s="93"/>
      <c r="W35" s="127"/>
      <c r="X35" s="100"/>
      <c r="Y35" s="100"/>
      <c r="Z35" s="100"/>
      <c r="AA35" s="100"/>
      <c r="AB35" s="100"/>
      <c r="AC35" s="100"/>
      <c r="AD35" s="100"/>
      <c r="AE35" s="100"/>
      <c r="AF35" s="100"/>
      <c r="AG35" s="100"/>
      <c r="AH35" s="100"/>
      <c r="AI35" s="100"/>
      <c r="AJ35" s="100"/>
    </row>
    <row r="36" spans="1:36">
      <c r="A36" s="310"/>
      <c r="B36" s="114" t="s">
        <v>112</v>
      </c>
      <c r="C36" s="113"/>
      <c r="D36" s="108"/>
      <c r="E36" s="106"/>
      <c r="F36" s="113"/>
      <c r="G36" s="108"/>
      <c r="H36" s="106"/>
      <c r="I36" s="113"/>
      <c r="J36" s="108"/>
      <c r="K36" s="106"/>
      <c r="L36" s="113"/>
      <c r="M36" s="108"/>
      <c r="N36" s="106"/>
      <c r="O36" s="113"/>
      <c r="P36" s="108"/>
      <c r="Q36" s="106"/>
      <c r="R36" s="113"/>
      <c r="S36" s="108"/>
      <c r="T36" s="106"/>
      <c r="U36" s="113"/>
      <c r="V36" s="108"/>
      <c r="W36" s="126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</row>
    <row r="37" spans="1:36">
      <c r="A37" s="310"/>
      <c r="B37" s="81" t="s">
        <v>74</v>
      </c>
      <c r="C37" s="75">
        <f>C33</f>
        <v>5333.333333333333</v>
      </c>
      <c r="D37" s="93"/>
      <c r="E37" s="92"/>
      <c r="F37" s="75">
        <f>F33</f>
        <v>5333.333333333333</v>
      </c>
      <c r="G37" s="93"/>
      <c r="H37" s="92"/>
      <c r="I37" s="75">
        <f>I33</f>
        <v>5333.333333333333</v>
      </c>
      <c r="J37" s="93"/>
      <c r="K37" s="92"/>
      <c r="L37" s="75">
        <f>L33</f>
        <v>5333.333333333333</v>
      </c>
      <c r="M37" s="93"/>
      <c r="N37" s="92"/>
      <c r="O37" s="75">
        <f>O33</f>
        <v>5333.333333333333</v>
      </c>
      <c r="P37" s="93"/>
      <c r="Q37" s="92"/>
      <c r="R37" s="75">
        <f>R33</f>
        <v>5333.333333333333</v>
      </c>
      <c r="S37" s="93"/>
      <c r="T37" s="92"/>
      <c r="U37" s="75">
        <f>U33</f>
        <v>5333.333333333333</v>
      </c>
      <c r="V37" s="93"/>
      <c r="W37" s="127"/>
      <c r="X37" s="100"/>
      <c r="Y37" s="100"/>
      <c r="Z37" s="100"/>
      <c r="AA37" s="100"/>
      <c r="AB37" s="100"/>
      <c r="AC37" s="100"/>
      <c r="AD37" s="100"/>
      <c r="AE37" s="100"/>
      <c r="AF37" s="100"/>
      <c r="AG37" s="100"/>
      <c r="AH37" s="100"/>
      <c r="AI37" s="100"/>
      <c r="AJ37" s="100"/>
    </row>
    <row r="38" spans="1:36">
      <c r="A38" s="310"/>
      <c r="B38" s="83" t="s">
        <v>99</v>
      </c>
      <c r="C38" s="84">
        <f>C31-C37</f>
        <v>5241.1112961456793</v>
      </c>
      <c r="D38" s="93"/>
      <c r="E38" s="92"/>
      <c r="F38" s="84">
        <f>F31-F37</f>
        <v>5271.8781092080453</v>
      </c>
      <c r="G38" s="93"/>
      <c r="H38" s="92"/>
      <c r="I38" s="84">
        <f>I31-I37</f>
        <v>5372.7043183412816</v>
      </c>
      <c r="J38" s="93"/>
      <c r="K38" s="92"/>
      <c r="L38" s="84">
        <f>L31-L37</f>
        <v>5329.4936149593859</v>
      </c>
      <c r="M38" s="93"/>
      <c r="N38" s="92"/>
      <c r="O38" s="84">
        <f>O31-O37</f>
        <v>5330.6218281102529</v>
      </c>
      <c r="P38" s="93"/>
      <c r="Q38" s="92"/>
      <c r="R38" s="84">
        <f>R31-R37</f>
        <v>5313.1073203230217</v>
      </c>
      <c r="S38" s="93"/>
      <c r="T38" s="92"/>
      <c r="U38" s="84">
        <f>U31-U37</f>
        <v>5415.763604984696</v>
      </c>
      <c r="V38" s="93"/>
      <c r="W38" s="127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</row>
    <row r="39" spans="1:36" ht="16.5" thickBot="1">
      <c r="A39" s="310"/>
      <c r="B39" s="64" t="s">
        <v>106</v>
      </c>
      <c r="C39" s="85"/>
      <c r="D39" s="93"/>
      <c r="E39" s="92"/>
      <c r="F39" s="85"/>
      <c r="G39" s="93"/>
      <c r="H39" s="92"/>
      <c r="I39" s="85"/>
      <c r="J39" s="93"/>
      <c r="K39" s="92"/>
      <c r="L39" s="85"/>
      <c r="M39" s="93"/>
      <c r="N39" s="92"/>
      <c r="O39" s="85"/>
      <c r="P39" s="93"/>
      <c r="Q39" s="92"/>
      <c r="R39" s="85"/>
      <c r="S39" s="93"/>
      <c r="T39" s="92"/>
      <c r="U39" s="85"/>
      <c r="V39" s="93"/>
      <c r="W39" s="127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  <c r="AJ39" s="100"/>
    </row>
    <row r="40" spans="1:36" ht="16.5" customHeight="1" thickTop="1">
      <c r="A40" s="310" t="s">
        <v>107</v>
      </c>
      <c r="B40" s="114" t="s">
        <v>113</v>
      </c>
      <c r="C40" s="104"/>
      <c r="D40" s="108"/>
      <c r="E40" s="106"/>
      <c r="F40" s="104"/>
      <c r="G40" s="108"/>
      <c r="H40" s="106"/>
      <c r="I40" s="104"/>
      <c r="J40" s="108"/>
      <c r="K40" s="106"/>
      <c r="L40" s="104"/>
      <c r="M40" s="108"/>
      <c r="N40" s="106"/>
      <c r="O40" s="104"/>
      <c r="P40" s="108"/>
      <c r="Q40" s="106"/>
      <c r="R40" s="104"/>
      <c r="S40" s="108"/>
      <c r="T40" s="106"/>
      <c r="U40" s="104"/>
      <c r="V40" s="108"/>
      <c r="W40" s="126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0"/>
      <c r="AJ40" s="100"/>
    </row>
    <row r="41" spans="1:36">
      <c r="A41" s="310"/>
      <c r="B41" s="81" t="s">
        <v>74</v>
      </c>
      <c r="C41" s="78">
        <f>(C28-C37)/C28*C14</f>
        <v>3809.5238095238101</v>
      </c>
      <c r="D41" s="93"/>
      <c r="E41" s="92"/>
      <c r="F41" s="78">
        <f>(F28-F37)/F28*F14</f>
        <v>3809.5238095238101</v>
      </c>
      <c r="G41" s="93"/>
      <c r="H41" s="92"/>
      <c r="I41" s="78">
        <f>(I28-I37)/I28*I14</f>
        <v>3809.5238095238101</v>
      </c>
      <c r="J41" s="93"/>
      <c r="K41" s="92"/>
      <c r="L41" s="78">
        <f>(L28-L37)/L28*L14</f>
        <v>3809.5238095238101</v>
      </c>
      <c r="M41" s="93"/>
      <c r="N41" s="92"/>
      <c r="O41" s="78">
        <f>(O28-O37)/O28*O14</f>
        <v>3809.5238095238101</v>
      </c>
      <c r="P41" s="93"/>
      <c r="Q41" s="92"/>
      <c r="R41" s="78">
        <f>(R28-R37)/R28*R14</f>
        <v>3809.5238095238101</v>
      </c>
      <c r="S41" s="93"/>
      <c r="T41" s="92"/>
      <c r="U41" s="78">
        <f>(U28-U37)/U28*U14</f>
        <v>3809.5238095238101</v>
      </c>
      <c r="V41" s="93"/>
      <c r="W41" s="127"/>
      <c r="X41" s="138">
        <f>U41</f>
        <v>3809.5238095238101</v>
      </c>
      <c r="Y41" s="138">
        <f>X41</f>
        <v>3809.5238095238101</v>
      </c>
      <c r="Z41" s="138">
        <f>Y41</f>
        <v>3809.5238095238101</v>
      </c>
      <c r="AA41" s="138">
        <f t="shared" ref="AA41:AJ41" si="10">Z41</f>
        <v>3809.5238095238101</v>
      </c>
      <c r="AB41" s="138">
        <f t="shared" si="10"/>
        <v>3809.5238095238101</v>
      </c>
      <c r="AC41" s="138">
        <f t="shared" si="10"/>
        <v>3809.5238095238101</v>
      </c>
      <c r="AD41" s="138">
        <f t="shared" si="10"/>
        <v>3809.5238095238101</v>
      </c>
      <c r="AE41" s="138">
        <f t="shared" si="10"/>
        <v>3809.5238095238101</v>
      </c>
      <c r="AF41" s="138">
        <f t="shared" si="10"/>
        <v>3809.5238095238101</v>
      </c>
      <c r="AG41" s="138">
        <f t="shared" si="10"/>
        <v>3809.5238095238101</v>
      </c>
      <c r="AH41" s="138">
        <f t="shared" si="10"/>
        <v>3809.5238095238101</v>
      </c>
      <c r="AI41" s="138">
        <f t="shared" si="10"/>
        <v>3809.5238095238101</v>
      </c>
      <c r="AJ41" s="138">
        <f t="shared" si="10"/>
        <v>3809.5238095238101</v>
      </c>
    </row>
    <row r="42" spans="1:36">
      <c r="A42" s="310"/>
      <c r="B42" s="81" t="s">
        <v>99</v>
      </c>
      <c r="C42" s="78">
        <f>(C29-C38)/C29*C15</f>
        <v>18448.610879817905</v>
      </c>
      <c r="D42" s="93"/>
      <c r="E42" s="92"/>
      <c r="F42" s="78">
        <f>(F29-F38)/F29*F15</f>
        <v>18410.152363489942</v>
      </c>
      <c r="G42" s="93"/>
      <c r="H42" s="92"/>
      <c r="I42" s="78">
        <f>(I29-I38)/I29*I15</f>
        <v>18284.119602073399</v>
      </c>
      <c r="J42" s="93"/>
      <c r="K42" s="92"/>
      <c r="L42" s="78">
        <f>(L29-L38)/L29*L15</f>
        <v>18338.132981300769</v>
      </c>
      <c r="M42" s="93"/>
      <c r="N42" s="92"/>
      <c r="O42" s="78">
        <f>(O29-O38)/O29*O15</f>
        <v>18336.722714862186</v>
      </c>
      <c r="P42" s="93"/>
      <c r="Q42" s="92"/>
      <c r="R42" s="78">
        <f>(R29-R38)/R29*R15</f>
        <v>18358.615849596223</v>
      </c>
      <c r="S42" s="93"/>
      <c r="T42" s="92"/>
      <c r="U42" s="78">
        <f>(U29-U38)/U29*U15</f>
        <v>18230.295493769132</v>
      </c>
      <c r="V42" s="93"/>
      <c r="W42" s="127"/>
      <c r="X42" s="138">
        <f>U42</f>
        <v>18230.295493769132</v>
      </c>
      <c r="Y42" s="138">
        <f>X42</f>
        <v>18230.295493769132</v>
      </c>
      <c r="Z42" s="138">
        <f t="shared" ref="Z42:AJ42" si="11">Y42</f>
        <v>18230.295493769132</v>
      </c>
      <c r="AA42" s="138">
        <f t="shared" si="11"/>
        <v>18230.295493769132</v>
      </c>
      <c r="AB42" s="138">
        <f t="shared" si="11"/>
        <v>18230.295493769132</v>
      </c>
      <c r="AC42" s="138">
        <f t="shared" si="11"/>
        <v>18230.295493769132</v>
      </c>
      <c r="AD42" s="138">
        <f t="shared" si="11"/>
        <v>18230.295493769132</v>
      </c>
      <c r="AE42" s="138">
        <f t="shared" si="11"/>
        <v>18230.295493769132</v>
      </c>
      <c r="AF42" s="138">
        <f t="shared" si="11"/>
        <v>18230.295493769132</v>
      </c>
      <c r="AG42" s="138">
        <f t="shared" si="11"/>
        <v>18230.295493769132</v>
      </c>
      <c r="AH42" s="138">
        <f t="shared" si="11"/>
        <v>18230.295493769132</v>
      </c>
      <c r="AI42" s="138">
        <f t="shared" si="11"/>
        <v>18230.295493769132</v>
      </c>
      <c r="AJ42" s="138">
        <f t="shared" si="11"/>
        <v>18230.295493769132</v>
      </c>
    </row>
    <row r="43" spans="1:36">
      <c r="A43" s="310"/>
      <c r="B43" s="81" t="s">
        <v>75</v>
      </c>
      <c r="C43" s="75">
        <f>(C30-C39)/C30*C16</f>
        <v>5714.2857142857147</v>
      </c>
      <c r="D43" s="93"/>
      <c r="E43" s="92"/>
      <c r="F43" s="75">
        <f>(F30-F39)/F30*F16</f>
        <v>5714.2857142857147</v>
      </c>
      <c r="G43" s="93"/>
      <c r="H43" s="92"/>
      <c r="I43" s="75">
        <f>(I30-I39)/I30*I16</f>
        <v>5714.2857142857147</v>
      </c>
      <c r="J43" s="93"/>
      <c r="K43" s="92"/>
      <c r="L43" s="75">
        <f>(L30-L39)/L30*L16</f>
        <v>5714.2857142857147</v>
      </c>
      <c r="M43" s="93"/>
      <c r="N43" s="92"/>
      <c r="O43" s="75">
        <f>(O30-O39)/O30*O16</f>
        <v>5714.2857142857147</v>
      </c>
      <c r="P43" s="93"/>
      <c r="Q43" s="92"/>
      <c r="R43" s="75">
        <f>(R30-R39)/R30*R16</f>
        <v>5714.2857142857147</v>
      </c>
      <c r="S43" s="93"/>
      <c r="T43" s="92"/>
      <c r="U43" s="75">
        <f>(U30-U39)/U30*U16</f>
        <v>5714.2857142857147</v>
      </c>
      <c r="V43" s="93"/>
      <c r="W43" s="127"/>
      <c r="X43" s="138">
        <f>U43</f>
        <v>5714.2857142857147</v>
      </c>
      <c r="Y43" s="138">
        <f>X43</f>
        <v>5714.2857142857147</v>
      </c>
      <c r="Z43" s="138">
        <f t="shared" ref="Z43:AJ43" si="12">Y43</f>
        <v>5714.2857142857147</v>
      </c>
      <c r="AA43" s="138">
        <f t="shared" si="12"/>
        <v>5714.2857142857147</v>
      </c>
      <c r="AB43" s="138">
        <f t="shared" si="12"/>
        <v>5714.2857142857147</v>
      </c>
      <c r="AC43" s="138">
        <f t="shared" si="12"/>
        <v>5714.2857142857147</v>
      </c>
      <c r="AD43" s="138">
        <f t="shared" si="12"/>
        <v>5714.2857142857147</v>
      </c>
      <c r="AE43" s="138">
        <f t="shared" si="12"/>
        <v>5714.2857142857147</v>
      </c>
      <c r="AF43" s="138">
        <f t="shared" si="12"/>
        <v>5714.2857142857147</v>
      </c>
      <c r="AG43" s="138">
        <f t="shared" si="12"/>
        <v>5714.2857142857147</v>
      </c>
      <c r="AH43" s="138">
        <f t="shared" si="12"/>
        <v>5714.2857142857147</v>
      </c>
      <c r="AI43" s="138">
        <f t="shared" si="12"/>
        <v>5714.2857142857147</v>
      </c>
      <c r="AJ43" s="138">
        <f t="shared" si="12"/>
        <v>5714.2857142857147</v>
      </c>
    </row>
    <row r="44" spans="1:36">
      <c r="A44" s="310"/>
      <c r="B44" s="74" t="s">
        <v>94</v>
      </c>
      <c r="C44" s="76">
        <f>SUM(C37:C39)</f>
        <v>10574.444629479012</v>
      </c>
      <c r="D44" s="99" t="str">
        <f>IF((C41*C9+C42*C10+C43*C11+C44*C12)=SUM(D5:D7),"OK","ERROR")</f>
        <v>OK</v>
      </c>
      <c r="E44" s="92"/>
      <c r="F44" s="76">
        <f>SUM(F37:F39)</f>
        <v>10605.211442541378</v>
      </c>
      <c r="G44" s="99" t="str">
        <f>IF((F41*F9+F42*F10+F43*F11+F44*F12)=SUM(G5:G7),"OK","ERROR")</f>
        <v>OK</v>
      </c>
      <c r="H44" s="92"/>
      <c r="I44" s="76">
        <f>SUM(I37:I39)</f>
        <v>10706.037651674615</v>
      </c>
      <c r="J44" s="99" t="str">
        <f>IF((I41*I9+I42*I10+I43*I11+I44*I12)=SUM(J5:J7),"OK","ERROR")</f>
        <v>OK</v>
      </c>
      <c r="K44" s="92"/>
      <c r="L44" s="76">
        <f>SUM(L37:L39)</f>
        <v>10662.826948292719</v>
      </c>
      <c r="M44" s="99" t="str">
        <f>IF((L41*L9+L42*L10+L43*L11+L44*L12)=SUM(M5:M7),"OK","ERROR")</f>
        <v>OK</v>
      </c>
      <c r="N44" s="92"/>
      <c r="O44" s="76">
        <f>SUM(O37:O39)</f>
        <v>10663.955161443586</v>
      </c>
      <c r="P44" s="99" t="str">
        <f>IF((O41*O9+O42*O10+O43*O11+O44*O12)=SUM(P5:P7),"OK","ERROR")</f>
        <v>OK</v>
      </c>
      <c r="Q44" s="92"/>
      <c r="R44" s="76">
        <f>SUM(R37:R39)</f>
        <v>10646.440653656355</v>
      </c>
      <c r="S44" s="99" t="str">
        <f>IF((R41*R9+R42*R10+R43*R11+R44*R12)=SUM(S5:S7),"OK","ERROR")</f>
        <v>OK</v>
      </c>
      <c r="T44" s="92"/>
      <c r="U44" s="76">
        <f>SUM(U37:U39)</f>
        <v>10749.096938318029</v>
      </c>
      <c r="V44" s="99" t="str">
        <f>IF((U41*U9+U42*U10+U43*U11+U44*U12)=SUM(V5:V7),"OK","ERROR")</f>
        <v>OK</v>
      </c>
      <c r="W44" s="127"/>
      <c r="X44" s="138">
        <f>U44</f>
        <v>10749.096938318029</v>
      </c>
      <c r="Y44" s="138">
        <f>X44</f>
        <v>10749.096938318029</v>
      </c>
      <c r="Z44" s="138">
        <f t="shared" ref="Z44:AJ44" si="13">Y44</f>
        <v>10749.096938318029</v>
      </c>
      <c r="AA44" s="138">
        <f t="shared" si="13"/>
        <v>10749.096938318029</v>
      </c>
      <c r="AB44" s="138">
        <f t="shared" si="13"/>
        <v>10749.096938318029</v>
      </c>
      <c r="AC44" s="138">
        <f t="shared" si="13"/>
        <v>10749.096938318029</v>
      </c>
      <c r="AD44" s="138">
        <f t="shared" si="13"/>
        <v>10749.096938318029</v>
      </c>
      <c r="AE44" s="138">
        <f t="shared" si="13"/>
        <v>10749.096938318029</v>
      </c>
      <c r="AF44" s="138">
        <f t="shared" si="13"/>
        <v>10749.096938318029</v>
      </c>
      <c r="AG44" s="138">
        <f t="shared" si="13"/>
        <v>10749.096938318029</v>
      </c>
      <c r="AH44" s="138">
        <f t="shared" si="13"/>
        <v>10749.096938318029</v>
      </c>
      <c r="AI44" s="138">
        <f t="shared" si="13"/>
        <v>10749.096938318029</v>
      </c>
      <c r="AJ44" s="138">
        <f t="shared" si="13"/>
        <v>10749.096938318029</v>
      </c>
    </row>
    <row r="45" spans="1:36">
      <c r="A45" s="310"/>
      <c r="B45" s="114" t="s">
        <v>114</v>
      </c>
      <c r="C45" s="104"/>
      <c r="D45" s="108"/>
      <c r="E45" s="106"/>
      <c r="F45" s="104"/>
      <c r="G45" s="108"/>
      <c r="H45" s="106"/>
      <c r="I45" s="104"/>
      <c r="J45" s="108"/>
      <c r="K45" s="106"/>
      <c r="L45" s="104"/>
      <c r="M45" s="108"/>
      <c r="N45" s="106"/>
      <c r="O45" s="104"/>
      <c r="P45" s="108"/>
      <c r="Q45" s="106"/>
      <c r="R45" s="104"/>
      <c r="S45" s="108"/>
      <c r="T45" s="106"/>
      <c r="U45" s="104"/>
      <c r="V45" s="108"/>
      <c r="W45" s="126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</row>
    <row r="46" spans="1:36">
      <c r="A46" s="310"/>
      <c r="B46" s="81" t="s">
        <v>74</v>
      </c>
      <c r="C46" s="86">
        <f>C41*$D19/1000</f>
        <v>100105.90019047623</v>
      </c>
      <c r="D46" s="93"/>
      <c r="E46" s="92"/>
      <c r="F46" s="86">
        <f>F41*$D19/1000</f>
        <v>100105.90019047623</v>
      </c>
      <c r="G46" s="93"/>
      <c r="H46" s="92"/>
      <c r="I46" s="86">
        <f>I41*$D19/1000</f>
        <v>100105.90019047623</v>
      </c>
      <c r="J46" s="93"/>
      <c r="K46" s="92"/>
      <c r="L46" s="86">
        <f>L41*$D19/1000</f>
        <v>100105.90019047623</v>
      </c>
      <c r="M46" s="93"/>
      <c r="N46" s="92"/>
      <c r="O46" s="86">
        <f>O41*$D19/1000</f>
        <v>100105.90019047623</v>
      </c>
      <c r="P46" s="93"/>
      <c r="Q46" s="92"/>
      <c r="R46" s="86">
        <f>R41*$D19/1000</f>
        <v>100105.90019047623</v>
      </c>
      <c r="S46" s="93"/>
      <c r="T46" s="92"/>
      <c r="U46" s="86">
        <f>U41*$D19/1000</f>
        <v>100105.90019047623</v>
      </c>
      <c r="V46" s="93"/>
      <c r="W46" s="127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0"/>
    </row>
    <row r="47" spans="1:36">
      <c r="A47" s="310"/>
      <c r="B47" s="81" t="s">
        <v>99</v>
      </c>
      <c r="C47" s="86">
        <f>C42*$D20/1000</f>
        <v>396645.45123219211</v>
      </c>
      <c r="D47" s="93"/>
      <c r="E47" s="92"/>
      <c r="F47" s="86">
        <f>F42*$D20/1000</f>
        <v>395818.59246965445</v>
      </c>
      <c r="G47" s="93"/>
      <c r="H47" s="92"/>
      <c r="I47" s="86">
        <f>I42*$D20/1000</f>
        <v>393108.88593143527</v>
      </c>
      <c r="J47" s="93"/>
      <c r="K47" s="92"/>
      <c r="L47" s="86">
        <f>L42*$D20/1000</f>
        <v>394270.17451385385</v>
      </c>
      <c r="M47" s="93"/>
      <c r="N47" s="92"/>
      <c r="O47" s="86">
        <f>O42*$D20/1000</f>
        <v>394239.85376116773</v>
      </c>
      <c r="P47" s="93"/>
      <c r="Q47" s="92"/>
      <c r="R47" s="86">
        <f>R42*$D20/1000</f>
        <v>394710.55653451144</v>
      </c>
      <c r="S47" s="93"/>
      <c r="T47" s="92"/>
      <c r="U47" s="86">
        <f>U42*$D20/1000</f>
        <v>391951.66667711892</v>
      </c>
      <c r="V47" s="93"/>
      <c r="W47" s="127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</row>
    <row r="48" spans="1:36">
      <c r="A48" s="310"/>
      <c r="B48" s="81" t="s">
        <v>75</v>
      </c>
      <c r="C48" s="86">
        <f>C43*$D21/1000</f>
        <v>160317.58857142858</v>
      </c>
      <c r="D48" s="93"/>
      <c r="E48" s="92"/>
      <c r="F48" s="86">
        <f>F43*$D21/1000</f>
        <v>160317.58857142858</v>
      </c>
      <c r="G48" s="93"/>
      <c r="H48" s="92"/>
      <c r="I48" s="86">
        <f>I43*$D21/1000</f>
        <v>160317.58857142858</v>
      </c>
      <c r="J48" s="93"/>
      <c r="K48" s="92"/>
      <c r="L48" s="86">
        <f>L43*$D21/1000</f>
        <v>160317.58857142858</v>
      </c>
      <c r="M48" s="93"/>
      <c r="N48" s="92"/>
      <c r="O48" s="86">
        <f>O43*$D21/1000</f>
        <v>160317.58857142858</v>
      </c>
      <c r="P48" s="93"/>
      <c r="Q48" s="92"/>
      <c r="R48" s="86">
        <f>R43*$D21/1000</f>
        <v>160317.58857142858</v>
      </c>
      <c r="S48" s="93"/>
      <c r="T48" s="92"/>
      <c r="U48" s="86">
        <f>U43*$D21/1000</f>
        <v>160317.58857142858</v>
      </c>
      <c r="V48" s="93"/>
      <c r="W48" s="127"/>
      <c r="X48" s="100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100"/>
      <c r="AJ48" s="100"/>
    </row>
    <row r="49" spans="1:36">
      <c r="A49" s="310"/>
      <c r="B49" s="74" t="s">
        <v>94</v>
      </c>
      <c r="C49" s="87">
        <f>C44*$D18/1000</f>
        <v>164785.22730412433</v>
      </c>
      <c r="D49" s="93"/>
      <c r="E49" s="92"/>
      <c r="F49" s="87">
        <f>F44*$D18/1000</f>
        <v>165264.67719123914</v>
      </c>
      <c r="G49" s="93"/>
      <c r="H49" s="92"/>
      <c r="I49" s="87">
        <f>I44*$D18/1000</f>
        <v>166835.88687386547</v>
      </c>
      <c r="J49" s="93"/>
      <c r="K49" s="92"/>
      <c r="L49" s="87">
        <f>L44*$D18/1000</f>
        <v>166162.51954080418</v>
      </c>
      <c r="M49" s="93"/>
      <c r="N49" s="92"/>
      <c r="O49" s="87">
        <f>O44*$D18/1000</f>
        <v>166180.10087647024</v>
      </c>
      <c r="P49" s="93"/>
      <c r="Q49" s="92"/>
      <c r="R49" s="87">
        <f>R44*$D18/1000</f>
        <v>165907.16624510504</v>
      </c>
      <c r="S49" s="93"/>
      <c r="T49" s="92"/>
      <c r="U49" s="87">
        <f>U44*$D18/1000</f>
        <v>167506.89462753115</v>
      </c>
      <c r="V49" s="93"/>
      <c r="W49" s="127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J49" s="100"/>
    </row>
    <row r="50" spans="1:36" ht="16.5" thickBot="1">
      <c r="A50" s="310"/>
      <c r="B50" s="140" t="s">
        <v>108</v>
      </c>
      <c r="C50" s="141">
        <f>SUM(C46:C49)</f>
        <v>821854.16729822126</v>
      </c>
      <c r="D50" s="108"/>
      <c r="E50" s="106"/>
      <c r="F50" s="141">
        <f>SUM(F46:F49)</f>
        <v>821506.75842279848</v>
      </c>
      <c r="G50" s="108"/>
      <c r="H50" s="106"/>
      <c r="I50" s="141">
        <f>SUM(I46:I49)</f>
        <v>820368.26156720554</v>
      </c>
      <c r="J50" s="108"/>
      <c r="K50" s="106"/>
      <c r="L50" s="141">
        <f>SUM(L46:L49)</f>
        <v>820856.18281656282</v>
      </c>
      <c r="M50" s="108"/>
      <c r="N50" s="106"/>
      <c r="O50" s="141">
        <f>SUM(O46:O49)</f>
        <v>820843.44339954271</v>
      </c>
      <c r="P50" s="108"/>
      <c r="Q50" s="106"/>
      <c r="R50" s="141">
        <f>SUM(R46:R49)</f>
        <v>821041.21154152136</v>
      </c>
      <c r="S50" s="108"/>
      <c r="T50" s="106"/>
      <c r="U50" s="141">
        <f>SUM(U46:U49)</f>
        <v>819882.05006655492</v>
      </c>
      <c r="V50" s="108"/>
      <c r="W50" s="126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00"/>
    </row>
    <row r="51" spans="1:36" ht="17.25" customHeight="1" thickTop="1" thickBot="1">
      <c r="A51" s="310" t="s">
        <v>185</v>
      </c>
      <c r="B51" s="116" t="s">
        <v>109</v>
      </c>
      <c r="C51" s="117">
        <f>C26-C50</f>
        <v>176281.55184463598</v>
      </c>
      <c r="D51" s="111"/>
      <c r="E51" s="112"/>
      <c r="F51" s="117">
        <f>F26-F50</f>
        <v>176628.96072005876</v>
      </c>
      <c r="G51" s="111"/>
      <c r="H51" s="112"/>
      <c r="I51" s="117">
        <f>I26-I50</f>
        <v>177767.4575756517</v>
      </c>
      <c r="J51" s="111"/>
      <c r="K51" s="112"/>
      <c r="L51" s="117">
        <f>L26-L50</f>
        <v>177279.53632629442</v>
      </c>
      <c r="M51" s="111"/>
      <c r="N51" s="112"/>
      <c r="O51" s="117">
        <f>O26-O50</f>
        <v>177292.27574331453</v>
      </c>
      <c r="P51" s="111"/>
      <c r="Q51" s="112"/>
      <c r="R51" s="117">
        <f>R26-R50</f>
        <v>177094.50760133588</v>
      </c>
      <c r="S51" s="111"/>
      <c r="T51" s="112"/>
      <c r="U51" s="117">
        <f>U26-U50</f>
        <v>178253.66907630232</v>
      </c>
      <c r="V51" s="111"/>
      <c r="W51" s="130"/>
      <c r="X51" s="133">
        <f>U51</f>
        <v>178253.66907630232</v>
      </c>
      <c r="Y51" s="133">
        <f>X51</f>
        <v>178253.66907630232</v>
      </c>
      <c r="Z51" s="133">
        <f t="shared" ref="Z51:AJ51" si="14">Y51</f>
        <v>178253.66907630232</v>
      </c>
      <c r="AA51" s="133">
        <f t="shared" si="14"/>
        <v>178253.66907630232</v>
      </c>
      <c r="AB51" s="133">
        <f t="shared" si="14"/>
        <v>178253.66907630232</v>
      </c>
      <c r="AC51" s="133">
        <f t="shared" si="14"/>
        <v>178253.66907630232</v>
      </c>
      <c r="AD51" s="133">
        <f t="shared" si="14"/>
        <v>178253.66907630232</v>
      </c>
      <c r="AE51" s="133">
        <f t="shared" si="14"/>
        <v>178253.66907630232</v>
      </c>
      <c r="AF51" s="133">
        <f t="shared" si="14"/>
        <v>178253.66907630232</v>
      </c>
      <c r="AG51" s="133">
        <f t="shared" si="14"/>
        <v>178253.66907630232</v>
      </c>
      <c r="AH51" s="133">
        <f t="shared" si="14"/>
        <v>178253.66907630232</v>
      </c>
      <c r="AI51" s="133">
        <f t="shared" si="14"/>
        <v>178253.66907630232</v>
      </c>
      <c r="AJ51" s="133">
        <f t="shared" si="14"/>
        <v>178253.66907630232</v>
      </c>
    </row>
    <row r="52" spans="1:36" ht="16.5" customHeight="1" thickTop="1">
      <c r="A52" s="310"/>
      <c r="B52" s="218" t="s">
        <v>122</v>
      </c>
      <c r="C52" s="118">
        <f>C51*'Input data saved costs'!B6/1000000</f>
        <v>2.5183078834947996</v>
      </c>
      <c r="D52" s="108"/>
      <c r="E52" s="106"/>
      <c r="F52" s="118">
        <f>F51*'Input data saved costs'!C6/1000000</f>
        <v>2.9905432502867089</v>
      </c>
      <c r="G52" s="108"/>
      <c r="H52" s="106"/>
      <c r="I52" s="118">
        <f>I51*'Input data saved costs'!D6/1000000</f>
        <v>3.480103666824927</v>
      </c>
      <c r="J52" s="108"/>
      <c r="K52" s="106"/>
      <c r="L52" s="118">
        <f>L51*'Input data saved costs'!E6/1000000</f>
        <v>3.9395452516954315</v>
      </c>
      <c r="M52" s="108"/>
      <c r="N52" s="106"/>
      <c r="O52" s="118">
        <f>O51*'Input data saved costs'!F6/1000000</f>
        <v>4.0711559615131483</v>
      </c>
      <c r="P52" s="108"/>
      <c r="Q52" s="106"/>
      <c r="R52" s="118">
        <f>R51*'Input data saved costs'!G6/1000000</f>
        <v>4.1977957357353688</v>
      </c>
      <c r="S52" s="108"/>
      <c r="T52" s="106"/>
      <c r="U52" s="118">
        <f>U51*'Input data saved costs'!H6/1000000</f>
        <v>4.3573119107540563</v>
      </c>
      <c r="V52" s="108"/>
      <c r="W52" s="126"/>
      <c r="X52" s="133">
        <f>X51*'Input data saved costs'!I6/1000000</f>
        <v>4.4893516656253913</v>
      </c>
      <c r="Y52" s="133">
        <f>Y51*'Input data saved costs'!J6/1000000</f>
        <v>4.6213914204967264</v>
      </c>
      <c r="Z52" s="133">
        <f>Z51*'Input data saved costs'!K6/1000000</f>
        <v>4.7534311753680614</v>
      </c>
      <c r="AA52" s="133">
        <f>AA51*'Input data saved costs'!L6/1000000</f>
        <v>4.8854709302393964</v>
      </c>
      <c r="AB52" s="133">
        <f>AB51*'Input data saved costs'!M6/1000000</f>
        <v>5.0175106851107314</v>
      </c>
      <c r="AC52" s="133">
        <f>AC51*'Input data saved costs'!N6/1000000</f>
        <v>5.1495504399820673</v>
      </c>
      <c r="AD52" s="133">
        <f>AD51*'Input data saved costs'!O6/1000000</f>
        <v>5.2815901948534014</v>
      </c>
      <c r="AE52" s="133">
        <f>AE51*'Input data saved costs'!P6/1000000</f>
        <v>5.4136299497247364</v>
      </c>
      <c r="AF52" s="133">
        <f>AF51*'Input data saved costs'!Q6/1000000</f>
        <v>5.5456697045960723</v>
      </c>
      <c r="AG52" s="133">
        <f>AG51*'Input data saved costs'!R6/1000000</f>
        <v>5.6777094594674073</v>
      </c>
      <c r="AH52" s="133">
        <f>AH51*'Input data saved costs'!S6/1000000</f>
        <v>5.8097492143387415</v>
      </c>
      <c r="AI52" s="133">
        <f>AI51*'Input data saved costs'!T6/1000000</f>
        <v>5.9417889692100765</v>
      </c>
      <c r="AJ52" s="133">
        <f>AJ51*'Input data saved costs'!U6/1000000</f>
        <v>5.9417889692100765</v>
      </c>
    </row>
    <row r="53" spans="1:36" s="203" customFormat="1" ht="15.75" customHeight="1">
      <c r="A53" s="310"/>
      <c r="B53" s="225" t="s">
        <v>129</v>
      </c>
      <c r="C53" s="193">
        <f>SUM((C14*'Input data saved costs'!B9)+('saved costs B'!C15*'Input data saved costs'!B8)+('saved costs B'!C16*'Input data saved costs'!B9))/1000000</f>
        <v>1457.0088794231463</v>
      </c>
      <c r="D53" s="200"/>
      <c r="E53" s="201"/>
      <c r="F53" s="193">
        <f>((F14*'Input data saved costs'!C9)+('saved costs B'!F15*'Input data saved costs'!C8)+('saved costs B'!F16*'Input data saved costs'!C9))/1000000</f>
        <v>1465.7688127544707</v>
      </c>
      <c r="G53" s="200"/>
      <c r="H53" s="201"/>
      <c r="I53" s="193">
        <f>((I14*'Input data saved costs'!D9)+('saved costs B'!I15*'Input data saved costs'!D8)+('saved costs B'!I16*'Input data saved costs'!D9))/1000000</f>
        <v>1474.5287460857951</v>
      </c>
      <c r="J53" s="200"/>
      <c r="K53" s="201"/>
      <c r="L53" s="193">
        <f>((L14*'Input data saved costs'!E9)+('saved costs B'!L15*'Input data saved costs'!E8)+('saved costs B'!L16*'Input data saved costs'!E9))/1000000</f>
        <v>1483.2886794171193</v>
      </c>
      <c r="M53" s="200"/>
      <c r="N53" s="201"/>
      <c r="O53" s="193">
        <f>((O14*'Input data saved costs'!F9)+('saved costs B'!O15*'Input data saved costs'!F8)+('saved costs B'!O16*'Input data saved costs'!F9))/1000000</f>
        <v>1488.8416264442453</v>
      </c>
      <c r="P53" s="200"/>
      <c r="Q53" s="201"/>
      <c r="R53" s="193">
        <f>((R14*'Input data saved costs'!G9)+('saved costs B'!R15*'Input data saved costs'!G8)+('saved costs B'!R16*'Input data saved costs'!G9))/1000000</f>
        <v>1494.3945734713711</v>
      </c>
      <c r="S53" s="200"/>
      <c r="T53" s="201"/>
      <c r="U53" s="193">
        <f>((U14*'Input data saved costs'!H9)+('saved costs B'!U15*'Input data saved costs'!H8)+('saved costs B'!U16*'Input data saved costs'!H9))/1000000</f>
        <v>1499.9475204984972</v>
      </c>
      <c r="V53" s="200"/>
      <c r="W53" s="202"/>
      <c r="X53" s="193">
        <f>((X14*'Input data saved costs'!I9)+('saved costs B'!X15*'Input data saved costs'!I8)+('saved costs B'!X16*'Input data saved costs'!I9))/1000000</f>
        <v>1505.5004675256234</v>
      </c>
      <c r="Y53" s="195">
        <f>((Y14*'Input data saved costs'!J9)+('saved costs B'!Y15*'Input data saved costs'!J8)+('saved costs B'!Y16*'Input data saved costs'!J9))/1000000</f>
        <v>1511.053414552749</v>
      </c>
      <c r="Z53" s="195">
        <f>((Z14*'Input data saved costs'!K9)+('saved costs B'!Z15*'Input data saved costs'!K8)+('saved costs B'!Z16*'Input data saved costs'!K9))/1000000</f>
        <v>1515.081307113644</v>
      </c>
      <c r="AA53" s="195">
        <f>((AA14*'Input data saved costs'!L9)+('saved costs B'!AA15*'Input data saved costs'!L8)+('saved costs B'!AA16*'Input data saved costs'!L9))/1000000</f>
        <v>1519.109199674539</v>
      </c>
      <c r="AB53" s="195">
        <f>((AB14*'Input data saved costs'!M9)+('saved costs B'!AB15*'Input data saved costs'!M8)+('saved costs B'!AB16*'Input data saved costs'!M9))/1000000</f>
        <v>1523.137092235434</v>
      </c>
      <c r="AC53" s="195">
        <f>((AC14*'Input data saved costs'!N9)+('saved costs B'!AC15*'Input data saved costs'!N8)+('saved costs B'!AC16*'Input data saved costs'!N9))/1000000</f>
        <v>1527.164984796329</v>
      </c>
      <c r="AD53" s="195">
        <f>((AD14*'Input data saved costs'!O9)+('saved costs B'!AD15*'Input data saved costs'!O8)+('saved costs B'!AD16*'Input data saved costs'!O9))/1000000</f>
        <v>1531.1928773572242</v>
      </c>
      <c r="AE53" s="195">
        <f>((AE14*'Input data saved costs'!P9)+('saved costs B'!AE15*'Input data saved costs'!P8)+('saved costs B'!AE16*'Input data saved costs'!P9))/1000000</f>
        <v>1534.5671751468774</v>
      </c>
      <c r="AF53" s="195">
        <f>((AF14*'Input data saved costs'!Q9)+('saved costs B'!AF15*'Input data saved costs'!Q8)+('saved costs B'!AF16*'Input data saved costs'!Q9))/1000000</f>
        <v>1537.9414729365305</v>
      </c>
      <c r="AG53" s="195">
        <f>((AG14*'Input data saved costs'!R9)+('saved costs B'!AG15*'Input data saved costs'!R8)+('saved costs B'!AG16*'Input data saved costs'!R9))/1000000</f>
        <v>1541.3157707261839</v>
      </c>
      <c r="AH53" s="195">
        <f>((AH14*'Input data saved costs'!S9)+('saved costs B'!AH15*'Input data saved costs'!S8)+('saved costs B'!AH16*'Input data saved costs'!S9))/1000000</f>
        <v>1544.6900685158369</v>
      </c>
      <c r="AI53" s="195">
        <f>((AI14*'Input data saved costs'!T9)+('saved costs B'!AI15*'Input data saved costs'!T8)+('saved costs B'!AI16*'Input data saved costs'!T9))/1000000</f>
        <v>1548.0643663054902</v>
      </c>
      <c r="AJ53" s="195">
        <f>((AJ14*'Input data saved costs'!U9)+('saved costs B'!AJ15*'Input data saved costs'!U8)+('saved costs B'!AJ16*'Input data saved costs'!U9))/1000000</f>
        <v>1548.0643663054902</v>
      </c>
    </row>
    <row r="54" spans="1:36" ht="15.75" customHeight="1">
      <c r="A54" s="310"/>
      <c r="B54" s="226" t="s">
        <v>128</v>
      </c>
      <c r="C54" s="194">
        <f>((C41*'Input data saved costs'!B9)+('saved costs B'!C42*'Input data saved costs'!B8)+('saved costs B'!C43*'Input data saved costs'!B9)+('saved costs B'!C44*'Input data saved costs'!B7))/1000000</f>
        <v>1342.0444463207079</v>
      </c>
      <c r="D54" s="100"/>
      <c r="E54" s="100"/>
      <c r="F54" s="194">
        <f>((F41*'Input data saved costs'!C9)+('saved costs B'!F42*'Input data saved costs'!C8)+('saved costs B'!F43*'Input data saved costs'!C9)+('saved costs B'!F44*'Input data saved costs'!C7))/1000000</f>
        <v>1349.8742217234335</v>
      </c>
      <c r="G54" s="100"/>
      <c r="H54" s="100"/>
      <c r="I54" s="194">
        <f>((I41*'Input data saved costs'!D9)+('saved costs B'!I42*'Input data saved costs'!D8)+('saved costs B'!I43*'Input data saved costs'!D9)+('saved costs B'!I44*'Input data saved costs'!D7))/1000000</f>
        <v>1355.1815079304567</v>
      </c>
      <c r="J54" s="100"/>
      <c r="K54" s="100"/>
      <c r="L54" s="194">
        <f>((L41*'Input data saved costs'!E9)+('saved costs B'!L42*'Input data saved costs'!E8)+('saved costs B'!L43*'Input data saved costs'!E9)+('saved costs B'!L44*'Input data saved costs'!E7))/1000000</f>
        <v>1365.65118243555</v>
      </c>
      <c r="M54" s="100"/>
      <c r="N54" s="100"/>
      <c r="O54" s="194">
        <f>((O41*'Input data saved costs'!F9)+('saved costs B'!O42*'Input data saved costs'!F8)+('saved costs B'!O43*'Input data saved costs'!F9)+('saved costs B'!O44*'Input data saved costs'!F7))/1000000</f>
        <v>1371.7820500540247</v>
      </c>
      <c r="P54" s="100"/>
      <c r="Q54" s="100"/>
      <c r="R54" s="194">
        <f>((R41*'Input data saved costs'!G9)+('saved costs B'!R42*'Input data saved costs'!G8)+('saved costs B'!R43*'Input data saved costs'!G9)+('saved costs B'!R44*'Input data saved costs'!G7))/1000000</f>
        <v>1378.5865155490346</v>
      </c>
      <c r="S54" s="100"/>
      <c r="T54" s="100"/>
      <c r="U54" s="194">
        <f>((U41*'Input data saved costs'!H9)+('saved costs B'!U42*'Input data saved costs'!H8)+('saved costs B'!U43*'Input data saved costs'!H9)+('saved costs B'!U44*'Input data saved costs'!H7))/1000000</f>
        <v>1381.0430708199242</v>
      </c>
      <c r="V54" s="100"/>
      <c r="W54" s="100"/>
      <c r="X54" s="144">
        <f>((X41*'Input data saved costs'!I9)+('saved costs B'!X42*'Input data saved costs'!I8)+('saved costs B'!X43*'Input data saved costs'!I9)+('saved costs B'!X44*'Input data saved costs'!I7))/1000000</f>
        <v>1387.209533933333</v>
      </c>
      <c r="Y54" s="144">
        <f>((Y41*'Input data saved costs'!J9)+('saved costs B'!Y42*'Input data saved costs'!J8)+('saved costs B'!Y43*'Input data saved costs'!J9)+('saved costs B'!Y44*'Input data saved costs'!J7))/1000000</f>
        <v>1393.3759970467418</v>
      </c>
      <c r="Z54" s="144">
        <f>((Z41*'Input data saved costs'!K9)+('saved costs B'!Z42*'Input data saved costs'!K8)+('saved costs B'!Z43*'Input data saved costs'!K9)+('saved costs B'!Z44*'Input data saved costs'!K7))/1000000</f>
        <v>1397.8870009344585</v>
      </c>
      <c r="AA54" s="144">
        <f>((AA41*'Input data saved costs'!L9)+('saved costs B'!AA42*'Input data saved costs'!L8)+('saved costs B'!AA43*'Input data saved costs'!L9)+('saved costs B'!AA44*'Input data saved costs'!L7))/1000000</f>
        <v>1402.3980048221747</v>
      </c>
      <c r="AB54" s="144">
        <f>((AB41*'Input data saved costs'!M9)+('saved costs B'!AB42*'Input data saved costs'!M8)+('saved costs B'!AB43*'Input data saved costs'!M9)+('saved costs B'!AB44*'Input data saved costs'!M7))/1000000</f>
        <v>1406.9090087098914</v>
      </c>
      <c r="AC54" s="144">
        <f>((AC41*'Input data saved costs'!N9)+('saved costs B'!AC42*'Input data saved costs'!N8)+('saved costs B'!AC43*'Input data saved costs'!N9)+('saved costs B'!AC44*'Input data saved costs'!N7))/1000000</f>
        <v>1411.4200125976079</v>
      </c>
      <c r="AD54" s="144">
        <f>((AD41*'Input data saved costs'!O9)+('saved costs B'!AD42*'Input data saved costs'!O8)+('saved costs B'!AD43*'Input data saved costs'!O9)+('saved costs B'!AD44*'Input data saved costs'!O7))/1000000</f>
        <v>1415.9310164853246</v>
      </c>
      <c r="AE54" s="144">
        <f>((AE41*'Input data saved costs'!P9)+('saved costs B'!AE42*'Input data saved costs'!P8)+('saved costs B'!AE43*'Input data saved costs'!P9)+('saved costs B'!AE44*'Input data saved costs'!P7))/1000000</f>
        <v>1419.965411340524</v>
      </c>
      <c r="AF54" s="144">
        <f>((AF41*'Input data saved costs'!Q9)+('saved costs B'!AF42*'Input data saved costs'!Q8)+('saved costs B'!AF43*'Input data saved costs'!Q9)+('saved costs B'!AF44*'Input data saved costs'!Q7))/1000000</f>
        <v>1423.999806195724</v>
      </c>
      <c r="AG54" s="144">
        <f>((AG41*'Input data saved costs'!R9)+('saved costs B'!AG42*'Input data saved costs'!R8)+('saved costs B'!AG43*'Input data saved costs'!R9)+('saved costs B'!AG44*'Input data saved costs'!R7))/1000000</f>
        <v>1428.0342010509235</v>
      </c>
      <c r="AH54" s="144">
        <f>((AH41*'Input data saved costs'!S9)+('saved costs B'!AH42*'Input data saved costs'!S8)+('saved costs B'!AH43*'Input data saved costs'!S9)+('saved costs B'!AH44*'Input data saved costs'!S7))/1000000</f>
        <v>1432.0685959061232</v>
      </c>
      <c r="AI54" s="144">
        <f>((AI41*'Input data saved costs'!T9)+('saved costs B'!AI42*'Input data saved costs'!T8)+('saved costs B'!AI43*'Input data saved costs'!T9)+('saved costs B'!AI44*'Input data saved costs'!T7))/1000000</f>
        <v>1436.1029907613229</v>
      </c>
      <c r="AJ54" s="144">
        <f>((AJ41*'Input data saved costs'!U9)+('saved costs B'!AJ42*'Input data saved costs'!U8)+('saved costs B'!AJ43*'Input data saved costs'!U9)+('saved costs B'!AJ44*'Input data saved costs'!U7))/1000000</f>
        <v>1436.1029907613229</v>
      </c>
    </row>
    <row r="55" spans="1:36" ht="15.75" customHeight="1">
      <c r="A55" s="310"/>
      <c r="B55" s="220" t="s">
        <v>123</v>
      </c>
      <c r="C55" s="144">
        <f>C53-C54</f>
        <v>114.96443310243831</v>
      </c>
      <c r="D55" s="100"/>
      <c r="E55" s="100"/>
      <c r="F55" s="144">
        <f>F53-F54</f>
        <v>115.89459103103718</v>
      </c>
      <c r="G55" s="100"/>
      <c r="H55" s="100"/>
      <c r="I55" s="144">
        <f>I53-I54</f>
        <v>119.34723815533835</v>
      </c>
      <c r="J55" s="100"/>
      <c r="K55" s="100"/>
      <c r="L55" s="144">
        <f>L53-L54</f>
        <v>117.63749698156926</v>
      </c>
      <c r="M55" s="100"/>
      <c r="N55" s="100"/>
      <c r="O55" s="144">
        <f>O53-O54</f>
        <v>117.05957639022063</v>
      </c>
      <c r="P55" s="100"/>
      <c r="Q55" s="100"/>
      <c r="R55" s="144">
        <f>R53-R54</f>
        <v>115.8080579223365</v>
      </c>
      <c r="S55" s="100"/>
      <c r="T55" s="100"/>
      <c r="U55" s="144">
        <f>U53-U54</f>
        <v>118.90444967857297</v>
      </c>
      <c r="V55" s="100"/>
      <c r="W55" s="100"/>
      <c r="X55" s="144">
        <f t="shared" ref="X55:AJ55" si="15">(X53-X54)</f>
        <v>118.29093359229046</v>
      </c>
      <c r="Y55" s="144">
        <f t="shared" si="15"/>
        <v>117.67741750600726</v>
      </c>
      <c r="Z55" s="144">
        <f t="shared" si="15"/>
        <v>117.19430617918556</v>
      </c>
      <c r="AA55" s="144">
        <f t="shared" si="15"/>
        <v>116.71119485236432</v>
      </c>
      <c r="AB55" s="144">
        <f t="shared" si="15"/>
        <v>116.22808352554262</v>
      </c>
      <c r="AC55" s="144">
        <f t="shared" si="15"/>
        <v>115.74497219872114</v>
      </c>
      <c r="AD55" s="144">
        <f t="shared" si="15"/>
        <v>115.26186087189967</v>
      </c>
      <c r="AE55" s="144">
        <f t="shared" si="15"/>
        <v>114.60176380635335</v>
      </c>
      <c r="AF55" s="144">
        <f t="shared" si="15"/>
        <v>113.94166674080657</v>
      </c>
      <c r="AG55" s="144">
        <f t="shared" si="15"/>
        <v>113.28156967526047</v>
      </c>
      <c r="AH55" s="144">
        <f t="shared" si="15"/>
        <v>112.62147260971369</v>
      </c>
      <c r="AI55" s="144">
        <f t="shared" si="15"/>
        <v>111.96137554416737</v>
      </c>
      <c r="AJ55" s="144">
        <f t="shared" si="15"/>
        <v>111.96137554416737</v>
      </c>
    </row>
    <row r="56" spans="1:36" s="88" customFormat="1">
      <c r="A56" s="136"/>
      <c r="B56" s="136" t="s">
        <v>132</v>
      </c>
      <c r="C56" s="191">
        <f>C31*'Input data saved costs'!B10/1000000</f>
        <v>16.073155836808098</v>
      </c>
      <c r="D56" s="136"/>
      <c r="E56" s="136"/>
      <c r="F56" s="192">
        <f>F31*'Input data saved costs'!E10/1000000</f>
        <v>16.119921392662896</v>
      </c>
      <c r="G56" s="136"/>
      <c r="H56" s="136"/>
      <c r="I56" s="192">
        <f>I31*'Input data saved costs'!H10/1000000</f>
        <v>16.273177230545414</v>
      </c>
      <c r="J56" s="136"/>
      <c r="K56" s="136"/>
      <c r="L56" s="192">
        <f>L31*'Input data saved costs'!K10/1000000</f>
        <v>16.207496961404932</v>
      </c>
      <c r="M56" s="136"/>
      <c r="N56" s="136"/>
      <c r="O56" s="192">
        <f>O31*'Input data saved costs'!N10/1000000</f>
        <v>16.20921184539425</v>
      </c>
      <c r="P56" s="136"/>
      <c r="Q56" s="136"/>
      <c r="R56" s="192">
        <f>R31*'Input data saved costs'!Q10/1000000</f>
        <v>16.182589793557657</v>
      </c>
      <c r="S56" s="136"/>
      <c r="T56" s="136"/>
      <c r="U56" s="192">
        <f>U31*'Input data saved costs'!T10/1000000</f>
        <v>16.338627346243403</v>
      </c>
      <c r="V56" s="136"/>
      <c r="W56" s="136"/>
      <c r="X56" s="192">
        <f>U56</f>
        <v>16.338627346243403</v>
      </c>
      <c r="Y56" s="192">
        <f>X56</f>
        <v>16.338627346243403</v>
      </c>
      <c r="Z56" s="192">
        <f t="shared" ref="Z56:AJ56" si="16">Y56</f>
        <v>16.338627346243403</v>
      </c>
      <c r="AA56" s="192">
        <f t="shared" si="16"/>
        <v>16.338627346243403</v>
      </c>
      <c r="AB56" s="192">
        <f t="shared" si="16"/>
        <v>16.338627346243403</v>
      </c>
      <c r="AC56" s="192">
        <f t="shared" si="16"/>
        <v>16.338627346243403</v>
      </c>
      <c r="AD56" s="192">
        <f t="shared" si="16"/>
        <v>16.338627346243403</v>
      </c>
      <c r="AE56" s="192">
        <f t="shared" si="16"/>
        <v>16.338627346243403</v>
      </c>
      <c r="AF56" s="192">
        <f t="shared" si="16"/>
        <v>16.338627346243403</v>
      </c>
      <c r="AG56" s="192">
        <f t="shared" si="16"/>
        <v>16.338627346243403</v>
      </c>
      <c r="AH56" s="192">
        <f t="shared" si="16"/>
        <v>16.338627346243403</v>
      </c>
      <c r="AI56" s="192">
        <f t="shared" si="16"/>
        <v>16.338627346243403</v>
      </c>
      <c r="AJ56" s="192">
        <f t="shared" si="16"/>
        <v>16.338627346243403</v>
      </c>
    </row>
    <row r="57" spans="1:36" s="196" customFormat="1">
      <c r="A57" s="197"/>
      <c r="B57" s="197" t="s">
        <v>133</v>
      </c>
      <c r="C57" s="198">
        <f>C52+C55+C56</f>
        <v>133.5558968227412</v>
      </c>
      <c r="D57" s="197"/>
      <c r="E57" s="197"/>
      <c r="F57" s="198">
        <f>F52+F55+F56</f>
        <v>135.00505567398679</v>
      </c>
      <c r="G57" s="197"/>
      <c r="H57" s="197"/>
      <c r="I57" s="198">
        <f>I52+I55+I56</f>
        <v>139.10051905270871</v>
      </c>
      <c r="J57" s="197"/>
      <c r="K57" s="197"/>
      <c r="L57" s="199">
        <f>L52+L55+L56</f>
        <v>137.78453919466963</v>
      </c>
      <c r="M57" s="197"/>
      <c r="N57" s="197"/>
      <c r="O57" s="199">
        <f>O52+O55+O56</f>
        <v>137.33994419712803</v>
      </c>
      <c r="P57" s="197"/>
      <c r="Q57" s="197"/>
      <c r="R57" s="199">
        <f>R52+R55+R56</f>
        <v>136.18844345162952</v>
      </c>
      <c r="S57" s="197"/>
      <c r="T57" s="197"/>
      <c r="U57" s="199">
        <f>U52+U55+U56</f>
        <v>139.60038893557044</v>
      </c>
      <c r="V57" s="197"/>
      <c r="W57" s="197"/>
      <c r="X57" s="199">
        <f t="shared" ref="X57:AJ57" si="17">X52+X55+X56</f>
        <v>139.11891260415925</v>
      </c>
      <c r="Y57" s="199">
        <f t="shared" si="17"/>
        <v>138.63743627274738</v>
      </c>
      <c r="Z57" s="199">
        <f t="shared" si="17"/>
        <v>138.28636470079704</v>
      </c>
      <c r="AA57" s="199">
        <f t="shared" si="17"/>
        <v>137.93529312884712</v>
      </c>
      <c r="AB57" s="199">
        <f t="shared" si="17"/>
        <v>137.58422155689675</v>
      </c>
      <c r="AC57" s="199">
        <f t="shared" si="17"/>
        <v>137.23314998494661</v>
      </c>
      <c r="AD57" s="199">
        <f t="shared" si="17"/>
        <v>136.88207841299649</v>
      </c>
      <c r="AE57" s="199">
        <f t="shared" si="17"/>
        <v>136.3540211023215</v>
      </c>
      <c r="AF57" s="199">
        <f t="shared" si="17"/>
        <v>135.82596379164605</v>
      </c>
      <c r="AG57" s="199">
        <f t="shared" si="17"/>
        <v>135.29790648097128</v>
      </c>
      <c r="AH57" s="199">
        <f t="shared" si="17"/>
        <v>134.76984917029583</v>
      </c>
      <c r="AI57" s="199">
        <f t="shared" si="17"/>
        <v>134.24179185962086</v>
      </c>
      <c r="AJ57" s="199">
        <f t="shared" si="17"/>
        <v>134.24179185962086</v>
      </c>
    </row>
  </sheetData>
  <mergeCells count="12">
    <mergeCell ref="A51:A55"/>
    <mergeCell ref="A40:A50"/>
    <mergeCell ref="R2:T2"/>
    <mergeCell ref="U2:W2"/>
    <mergeCell ref="A3:A7"/>
    <mergeCell ref="A8:A26"/>
    <mergeCell ref="A27:A39"/>
    <mergeCell ref="C2:E2"/>
    <mergeCell ref="F2:H2"/>
    <mergeCell ref="I2:K2"/>
    <mergeCell ref="L2:N2"/>
    <mergeCell ref="O2:Q2"/>
  </mergeCells>
  <conditionalFormatting sqref="D44">
    <cfRule type="cellIs" dxfId="27" priority="23" operator="equal">
      <formula>"ERROR"</formula>
    </cfRule>
    <cfRule type="cellIs" dxfId="26" priority="24" operator="equal">
      <formula>"OK"</formula>
    </cfRule>
  </conditionalFormatting>
  <conditionalFormatting sqref="G44">
    <cfRule type="cellIs" dxfId="25" priority="21" operator="equal">
      <formula>"ERROR"</formula>
    </cfRule>
    <cfRule type="cellIs" dxfId="24" priority="22" operator="equal">
      <formula>"OK"</formula>
    </cfRule>
  </conditionalFormatting>
  <conditionalFormatting sqref="J44">
    <cfRule type="cellIs" dxfId="23" priority="19" operator="equal">
      <formula>"ERROR"</formula>
    </cfRule>
    <cfRule type="cellIs" dxfId="22" priority="20" operator="equal">
      <formula>"OK"</formula>
    </cfRule>
  </conditionalFormatting>
  <conditionalFormatting sqref="M44">
    <cfRule type="cellIs" dxfId="21" priority="7" operator="equal">
      <formula>"ERROR"</formula>
    </cfRule>
    <cfRule type="cellIs" dxfId="20" priority="8" operator="equal">
      <formula>"OK"</formula>
    </cfRule>
  </conditionalFormatting>
  <conditionalFormatting sqref="P44">
    <cfRule type="cellIs" dxfId="19" priority="5" operator="equal">
      <formula>"ERROR"</formula>
    </cfRule>
    <cfRule type="cellIs" dxfId="18" priority="6" operator="equal">
      <formula>"OK"</formula>
    </cfRule>
  </conditionalFormatting>
  <conditionalFormatting sqref="S44">
    <cfRule type="cellIs" dxfId="17" priority="3" operator="equal">
      <formula>"ERROR"</formula>
    </cfRule>
    <cfRule type="cellIs" dxfId="16" priority="4" operator="equal">
      <formula>"OK"</formula>
    </cfRule>
  </conditionalFormatting>
  <conditionalFormatting sqref="V44">
    <cfRule type="cellIs" dxfId="15" priority="1" operator="equal">
      <formula>"ERROR"</formula>
    </cfRule>
    <cfRule type="cellIs" dxfId="14" priority="2" operator="equal">
      <formula>"OK"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2:AK57"/>
  <sheetViews>
    <sheetView topLeftCell="A43" workbookViewId="0">
      <selection activeCell="C60" sqref="C60"/>
    </sheetView>
  </sheetViews>
  <sheetFormatPr baseColWidth="10" defaultColWidth="9.140625" defaultRowHeight="15.75"/>
  <cols>
    <col min="1" max="2" width="3.5703125" style="62" customWidth="1"/>
    <col min="3" max="3" width="74.85546875" style="62" customWidth="1"/>
    <col min="4" max="4" width="16.5703125" style="62" bestFit="1" customWidth="1"/>
    <col min="5" max="5" width="11.7109375" style="62" customWidth="1"/>
    <col min="6" max="6" width="5.5703125" style="62" bestFit="1" customWidth="1"/>
    <col min="7" max="7" width="13.140625" style="62" customWidth="1"/>
    <col min="8" max="8" width="23.5703125" style="62" bestFit="1" customWidth="1"/>
    <col min="9" max="9" width="8.85546875" style="62" customWidth="1"/>
    <col min="10" max="10" width="13.28515625" style="62" bestFit="1" customWidth="1"/>
    <col min="11" max="11" width="12.28515625" style="62" customWidth="1"/>
    <col min="12" max="12" width="13.85546875" style="62" customWidth="1"/>
    <col min="13" max="13" width="13.28515625" style="62" bestFit="1" customWidth="1"/>
    <col min="14" max="14" width="23.5703125" style="62" bestFit="1" customWidth="1"/>
    <col min="15" max="15" width="12.28515625" style="62" customWidth="1"/>
    <col min="16" max="16" width="13.28515625" style="62" bestFit="1" customWidth="1"/>
    <col min="17" max="17" width="23.5703125" style="62" bestFit="1" customWidth="1"/>
    <col min="18" max="18" width="9.140625" style="62"/>
    <col min="19" max="19" width="15.85546875" style="62" bestFit="1" customWidth="1"/>
    <col min="20" max="20" width="23.5703125" style="62" bestFit="1" customWidth="1"/>
    <col min="21" max="21" width="9.140625" style="62"/>
    <col min="22" max="22" width="15.85546875" style="62" bestFit="1" customWidth="1"/>
    <col min="23" max="23" width="10.140625" style="62" bestFit="1" customWidth="1"/>
    <col min="24" max="24" width="14.42578125" style="62" customWidth="1"/>
    <col min="25" max="25" width="13.140625" style="62" bestFit="1" customWidth="1"/>
    <col min="26" max="37" width="11.28515625" style="62" bestFit="1" customWidth="1"/>
    <col min="38" max="16384" width="9.140625" style="62"/>
  </cols>
  <sheetData>
    <row r="2" spans="1:37">
      <c r="A2" s="63">
        <v>2</v>
      </c>
      <c r="B2" s="221"/>
      <c r="C2" s="216" t="s">
        <v>116</v>
      </c>
      <c r="D2" s="314">
        <v>2017</v>
      </c>
      <c r="E2" s="315"/>
      <c r="F2" s="316"/>
      <c r="G2" s="314">
        <v>2018</v>
      </c>
      <c r="H2" s="315"/>
      <c r="I2" s="316"/>
      <c r="J2" s="311">
        <v>2019</v>
      </c>
      <c r="K2" s="312"/>
      <c r="L2" s="313"/>
      <c r="M2" s="311">
        <v>2020</v>
      </c>
      <c r="N2" s="312"/>
      <c r="O2" s="313"/>
      <c r="P2" s="311">
        <v>2021</v>
      </c>
      <c r="Q2" s="312"/>
      <c r="R2" s="313"/>
      <c r="S2" s="311">
        <v>2022</v>
      </c>
      <c r="T2" s="312"/>
      <c r="U2" s="313"/>
      <c r="V2" s="311">
        <v>2023</v>
      </c>
      <c r="W2" s="312"/>
      <c r="X2" s="313"/>
      <c r="Y2" s="136">
        <v>2024</v>
      </c>
      <c r="Z2" s="136">
        <v>2025</v>
      </c>
      <c r="AA2" s="136">
        <v>2026</v>
      </c>
      <c r="AB2" s="136">
        <v>2027</v>
      </c>
      <c r="AC2" s="136">
        <v>2028</v>
      </c>
      <c r="AD2" s="136">
        <v>2029</v>
      </c>
      <c r="AE2" s="136">
        <v>2030</v>
      </c>
      <c r="AF2" s="136">
        <v>2031</v>
      </c>
      <c r="AG2" s="136">
        <v>2032</v>
      </c>
      <c r="AH2" s="136">
        <v>2033</v>
      </c>
      <c r="AI2" s="136">
        <v>2034</v>
      </c>
      <c r="AJ2" s="136">
        <v>2035</v>
      </c>
      <c r="AK2" s="136">
        <v>2036</v>
      </c>
    </row>
    <row r="3" spans="1:37">
      <c r="A3" s="65">
        <v>3</v>
      </c>
      <c r="B3" s="310" t="s">
        <v>88</v>
      </c>
      <c r="C3" s="66" t="s">
        <v>89</v>
      </c>
      <c r="D3" s="67">
        <v>50000</v>
      </c>
      <c r="E3" s="89"/>
      <c r="F3" s="90"/>
      <c r="G3" s="67"/>
      <c r="H3" s="89"/>
      <c r="I3" s="90"/>
      <c r="J3" s="67"/>
      <c r="K3" s="89"/>
      <c r="L3" s="90"/>
      <c r="M3" s="67"/>
      <c r="N3" s="101"/>
      <c r="O3" s="102"/>
      <c r="P3" s="67"/>
      <c r="Q3" s="101"/>
      <c r="R3" s="102"/>
      <c r="S3" s="67"/>
      <c r="T3" s="101"/>
      <c r="U3" s="102"/>
      <c r="V3" s="67"/>
      <c r="W3" s="101"/>
      <c r="X3" s="102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</row>
    <row r="4" spans="1:37" ht="49.5">
      <c r="A4" s="68">
        <v>4</v>
      </c>
      <c r="B4" s="310"/>
      <c r="C4" s="103" t="s">
        <v>90</v>
      </c>
      <c r="D4" s="104"/>
      <c r="E4" s="105" t="s">
        <v>110</v>
      </c>
      <c r="F4" s="106"/>
      <c r="G4" s="104"/>
      <c r="H4" s="107" t="s">
        <v>110</v>
      </c>
      <c r="I4" s="106"/>
      <c r="J4" s="104"/>
      <c r="K4" s="107" t="s">
        <v>110</v>
      </c>
      <c r="L4" s="106"/>
      <c r="M4" s="104"/>
      <c r="N4" s="107" t="s">
        <v>110</v>
      </c>
      <c r="O4" s="106"/>
      <c r="P4" s="104"/>
      <c r="Q4" s="107" t="s">
        <v>110</v>
      </c>
      <c r="R4" s="106"/>
      <c r="S4" s="104"/>
      <c r="T4" s="107" t="s">
        <v>110</v>
      </c>
      <c r="U4" s="106"/>
      <c r="V4" s="104"/>
      <c r="W4" s="107" t="s">
        <v>110</v>
      </c>
      <c r="X4" s="106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</row>
    <row r="5" spans="1:37">
      <c r="A5" s="68">
        <v>5</v>
      </c>
      <c r="B5" s="310"/>
      <c r="C5" s="69" t="s">
        <v>74</v>
      </c>
      <c r="D5" s="70">
        <v>0.1</v>
      </c>
      <c r="E5" s="91">
        <f>$D$3*D5</f>
        <v>5000</v>
      </c>
      <c r="F5" s="92"/>
      <c r="G5" s="70">
        <f>D5</f>
        <v>0.1</v>
      </c>
      <c r="H5" s="91">
        <f>$D$3*G5</f>
        <v>5000</v>
      </c>
      <c r="I5" s="92"/>
      <c r="J5" s="70">
        <f>G5</f>
        <v>0.1</v>
      </c>
      <c r="K5" s="91">
        <f>$D$3*J5</f>
        <v>5000</v>
      </c>
      <c r="L5" s="92"/>
      <c r="M5" s="70">
        <f>J5</f>
        <v>0.1</v>
      </c>
      <c r="N5" s="91">
        <f>$D$3*M5</f>
        <v>5000</v>
      </c>
      <c r="O5" s="92"/>
      <c r="P5" s="70">
        <f>M5</f>
        <v>0.1</v>
      </c>
      <c r="Q5" s="91">
        <f>$D$3*P5</f>
        <v>5000</v>
      </c>
      <c r="R5" s="92"/>
      <c r="S5" s="70">
        <f>P5</f>
        <v>0.1</v>
      </c>
      <c r="T5" s="91">
        <f>$D$3*S5</f>
        <v>5000</v>
      </c>
      <c r="U5" s="92"/>
      <c r="V5" s="70">
        <f>S5</f>
        <v>0.1</v>
      </c>
      <c r="W5" s="91">
        <f>$D$3*V5</f>
        <v>5000</v>
      </c>
      <c r="X5" s="92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</row>
    <row r="6" spans="1:37">
      <c r="A6" s="68">
        <v>6</v>
      </c>
      <c r="B6" s="310"/>
      <c r="C6" s="69" t="s">
        <v>91</v>
      </c>
      <c r="D6" s="70">
        <v>0.25</v>
      </c>
      <c r="E6" s="91">
        <f t="shared" ref="E6:E7" si="0">$D$3*D6</f>
        <v>12500</v>
      </c>
      <c r="F6" s="92"/>
      <c r="G6" s="70">
        <f>D6</f>
        <v>0.25</v>
      </c>
      <c r="H6" s="91">
        <f t="shared" ref="H6:H7" si="1">$D$3*G6</f>
        <v>12500</v>
      </c>
      <c r="I6" s="92"/>
      <c r="J6" s="70">
        <f>G6</f>
        <v>0.25</v>
      </c>
      <c r="K6" s="91">
        <f t="shared" ref="K6:K7" si="2">$D$3*J6</f>
        <v>12500</v>
      </c>
      <c r="L6" s="92"/>
      <c r="M6" s="70">
        <f>J6</f>
        <v>0.25</v>
      </c>
      <c r="N6" s="91">
        <f t="shared" ref="N6:N7" si="3">$D$3*M6</f>
        <v>12500</v>
      </c>
      <c r="O6" s="92"/>
      <c r="P6" s="70">
        <f>M6</f>
        <v>0.25</v>
      </c>
      <c r="Q6" s="91">
        <f t="shared" ref="Q6:Q7" si="4">$D$3*P6</f>
        <v>12500</v>
      </c>
      <c r="R6" s="92"/>
      <c r="S6" s="70">
        <f>P6</f>
        <v>0.25</v>
      </c>
      <c r="T6" s="91">
        <f t="shared" ref="T6:T7" si="5">$D$3*S6</f>
        <v>12500</v>
      </c>
      <c r="U6" s="92"/>
      <c r="V6" s="70">
        <f>S6</f>
        <v>0.25</v>
      </c>
      <c r="W6" s="91">
        <f t="shared" ref="W6:W7" si="6">$D$3*V6</f>
        <v>12500</v>
      </c>
      <c r="X6" s="92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</row>
    <row r="7" spans="1:37" ht="16.5" thickBot="1">
      <c r="A7" s="68">
        <v>7</v>
      </c>
      <c r="B7" s="310"/>
      <c r="C7" s="64" t="s">
        <v>75</v>
      </c>
      <c r="D7" s="71">
        <v>0.05</v>
      </c>
      <c r="E7" s="91">
        <f t="shared" si="0"/>
        <v>2500</v>
      </c>
      <c r="F7" s="92"/>
      <c r="G7" s="71">
        <f>D7</f>
        <v>0.05</v>
      </c>
      <c r="H7" s="91">
        <f t="shared" si="1"/>
        <v>2500</v>
      </c>
      <c r="I7" s="92"/>
      <c r="J7" s="71">
        <f>G7</f>
        <v>0.05</v>
      </c>
      <c r="K7" s="91">
        <f t="shared" si="2"/>
        <v>2500</v>
      </c>
      <c r="L7" s="92"/>
      <c r="M7" s="71">
        <f>J7</f>
        <v>0.05</v>
      </c>
      <c r="N7" s="91">
        <f t="shared" si="3"/>
        <v>2500</v>
      </c>
      <c r="O7" s="92"/>
      <c r="P7" s="71">
        <f>M7</f>
        <v>0.05</v>
      </c>
      <c r="Q7" s="91">
        <f t="shared" si="4"/>
        <v>2500</v>
      </c>
      <c r="R7" s="92"/>
      <c r="S7" s="71">
        <f>P7</f>
        <v>0.05</v>
      </c>
      <c r="T7" s="91">
        <f t="shared" si="5"/>
        <v>2500</v>
      </c>
      <c r="U7" s="92"/>
      <c r="V7" s="71">
        <f>S7</f>
        <v>0.05</v>
      </c>
      <c r="W7" s="91">
        <f t="shared" si="6"/>
        <v>2500</v>
      </c>
      <c r="X7" s="92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</row>
    <row r="8" spans="1:37" ht="16.5" thickTop="1">
      <c r="A8" s="65">
        <v>8</v>
      </c>
      <c r="B8" s="310" t="s">
        <v>92</v>
      </c>
      <c r="C8" s="66" t="s">
        <v>93</v>
      </c>
      <c r="D8" s="72"/>
      <c r="E8" s="89"/>
      <c r="F8" s="90"/>
      <c r="G8" s="72"/>
      <c r="H8" s="89"/>
      <c r="I8" s="90"/>
      <c r="J8" s="72"/>
      <c r="K8" s="89"/>
      <c r="L8" s="90"/>
      <c r="M8" s="72"/>
      <c r="N8" s="89"/>
      <c r="O8" s="90"/>
      <c r="P8" s="72"/>
      <c r="Q8" s="89"/>
      <c r="R8" s="90"/>
      <c r="S8" s="72"/>
      <c r="T8" s="89"/>
      <c r="U8" s="90"/>
      <c r="V8" s="72"/>
      <c r="W8" s="89"/>
      <c r="X8" s="90"/>
      <c r="Y8" s="100"/>
      <c r="Z8" s="100"/>
      <c r="AA8" s="100"/>
      <c r="AB8" s="100"/>
      <c r="AC8" s="100"/>
      <c r="AD8" s="100"/>
      <c r="AE8" s="100"/>
      <c r="AF8" s="100"/>
      <c r="AG8" s="100"/>
      <c r="AH8" s="100"/>
      <c r="AI8" s="100"/>
      <c r="AJ8" s="100"/>
      <c r="AK8" s="100"/>
    </row>
    <row r="9" spans="1:37">
      <c r="A9" s="68">
        <v>9</v>
      </c>
      <c r="B9" s="310"/>
      <c r="C9" s="69" t="s">
        <v>74</v>
      </c>
      <c r="D9" s="70">
        <v>0.35</v>
      </c>
      <c r="E9" s="93"/>
      <c r="F9" s="92"/>
      <c r="G9" s="70">
        <v>0.35</v>
      </c>
      <c r="H9" s="93"/>
      <c r="I9" s="92"/>
      <c r="J9" s="70">
        <v>0.35</v>
      </c>
      <c r="K9" s="93"/>
      <c r="L9" s="92"/>
      <c r="M9" s="70">
        <v>0.35</v>
      </c>
      <c r="N9" s="93"/>
      <c r="O9" s="92"/>
      <c r="P9" s="70">
        <v>0.35</v>
      </c>
      <c r="Q9" s="93"/>
      <c r="R9" s="92"/>
      <c r="S9" s="70">
        <v>0.35</v>
      </c>
      <c r="T9" s="93"/>
      <c r="U9" s="92"/>
      <c r="V9" s="70">
        <v>0.35</v>
      </c>
      <c r="W9" s="93"/>
      <c r="X9" s="92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</row>
    <row r="10" spans="1:37">
      <c r="A10" s="68">
        <v>10</v>
      </c>
      <c r="B10" s="310"/>
      <c r="C10" s="69" t="s">
        <v>91</v>
      </c>
      <c r="D10" s="70">
        <v>0.4</v>
      </c>
      <c r="E10" s="93"/>
      <c r="F10" s="92"/>
      <c r="G10" s="70">
        <v>0.4</v>
      </c>
      <c r="H10" s="93"/>
      <c r="I10" s="92"/>
      <c r="J10" s="70">
        <v>0.4</v>
      </c>
      <c r="K10" s="93"/>
      <c r="L10" s="92"/>
      <c r="M10" s="70">
        <v>0.4</v>
      </c>
      <c r="N10" s="93"/>
      <c r="O10" s="92"/>
      <c r="P10" s="70">
        <v>0.4</v>
      </c>
      <c r="Q10" s="93"/>
      <c r="R10" s="92"/>
      <c r="S10" s="70">
        <v>0.4</v>
      </c>
      <c r="T10" s="93"/>
      <c r="U10" s="92"/>
      <c r="V10" s="70">
        <v>0.4</v>
      </c>
      <c r="W10" s="93"/>
      <c r="X10" s="92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</row>
    <row r="11" spans="1:37">
      <c r="A11" s="68">
        <v>11</v>
      </c>
      <c r="B11" s="310"/>
      <c r="C11" s="69" t="s">
        <v>75</v>
      </c>
      <c r="D11" s="70">
        <v>0.35</v>
      </c>
      <c r="E11" s="93"/>
      <c r="F11" s="92"/>
      <c r="G11" s="70">
        <v>0.35</v>
      </c>
      <c r="H11" s="93"/>
      <c r="I11" s="92"/>
      <c r="J11" s="70">
        <v>0.35</v>
      </c>
      <c r="K11" s="93"/>
      <c r="L11" s="92"/>
      <c r="M11" s="70">
        <v>0.35</v>
      </c>
      <c r="N11" s="93"/>
      <c r="O11" s="92"/>
      <c r="P11" s="70">
        <v>0.35</v>
      </c>
      <c r="Q11" s="93"/>
      <c r="R11" s="92"/>
      <c r="S11" s="70">
        <v>0.35</v>
      </c>
      <c r="T11" s="93"/>
      <c r="U11" s="92"/>
      <c r="V11" s="70">
        <v>0.35</v>
      </c>
      <c r="W11" s="93"/>
      <c r="X11" s="92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</row>
    <row r="12" spans="1:37">
      <c r="A12" s="68">
        <v>12</v>
      </c>
      <c r="B12" s="310"/>
      <c r="C12" s="74" t="s">
        <v>94</v>
      </c>
      <c r="D12" s="73">
        <v>0.5</v>
      </c>
      <c r="E12" s="93"/>
      <c r="F12" s="92"/>
      <c r="G12" s="73">
        <v>0.5</v>
      </c>
      <c r="H12" s="93"/>
      <c r="I12" s="92"/>
      <c r="J12" s="73">
        <v>0.5</v>
      </c>
      <c r="K12" s="93"/>
      <c r="L12" s="92"/>
      <c r="M12" s="73">
        <v>0.5</v>
      </c>
      <c r="N12" s="93"/>
      <c r="O12" s="92"/>
      <c r="P12" s="73">
        <v>0.5</v>
      </c>
      <c r="Q12" s="93"/>
      <c r="R12" s="92"/>
      <c r="S12" s="73">
        <v>0.5</v>
      </c>
      <c r="T12" s="93"/>
      <c r="U12" s="92"/>
      <c r="V12" s="73">
        <v>0.5</v>
      </c>
      <c r="W12" s="93"/>
      <c r="X12" s="92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</row>
    <row r="13" spans="1:37">
      <c r="A13" s="68">
        <v>13</v>
      </c>
      <c r="B13" s="310"/>
      <c r="C13" s="103" t="s">
        <v>111</v>
      </c>
      <c r="D13" s="104"/>
      <c r="E13" s="108"/>
      <c r="F13" s="106"/>
      <c r="G13" s="104"/>
      <c r="H13" s="108"/>
      <c r="I13" s="106"/>
      <c r="J13" s="104"/>
      <c r="K13" s="108"/>
      <c r="L13" s="106"/>
      <c r="M13" s="104"/>
      <c r="N13" s="108"/>
      <c r="O13" s="106"/>
      <c r="P13" s="104"/>
      <c r="Q13" s="108"/>
      <c r="R13" s="106"/>
      <c r="S13" s="104"/>
      <c r="T13" s="108"/>
      <c r="U13" s="106"/>
      <c r="V13" s="104"/>
      <c r="W13" s="108"/>
      <c r="X13" s="106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  <c r="AJ13" s="100"/>
      <c r="AK13" s="100"/>
    </row>
    <row r="14" spans="1:37">
      <c r="A14" s="68">
        <v>14</v>
      </c>
      <c r="B14" s="310"/>
      <c r="C14" s="69" t="s">
        <v>74</v>
      </c>
      <c r="D14" s="75">
        <f>E5/D9</f>
        <v>14285.714285714286</v>
      </c>
      <c r="E14" s="93"/>
      <c r="F14" s="92"/>
      <c r="G14" s="75">
        <f>H5/G9</f>
        <v>14285.714285714286</v>
      </c>
      <c r="H14" s="93"/>
      <c r="I14" s="92"/>
      <c r="J14" s="75">
        <f>K5/J9</f>
        <v>14285.714285714286</v>
      </c>
      <c r="K14" s="93"/>
      <c r="L14" s="92"/>
      <c r="M14" s="75">
        <f>N5/M9</f>
        <v>14285.714285714286</v>
      </c>
      <c r="N14" s="93"/>
      <c r="O14" s="92"/>
      <c r="P14" s="75">
        <f>Q5/P9</f>
        <v>14285.714285714286</v>
      </c>
      <c r="Q14" s="93"/>
      <c r="R14" s="92"/>
      <c r="S14" s="75">
        <f>T5/S9</f>
        <v>14285.714285714286</v>
      </c>
      <c r="T14" s="93"/>
      <c r="U14" s="92"/>
      <c r="V14" s="75">
        <f>W5/V9</f>
        <v>14285.714285714286</v>
      </c>
      <c r="W14" s="93"/>
      <c r="X14" s="92"/>
      <c r="Y14" s="138">
        <f>V14</f>
        <v>14285.714285714286</v>
      </c>
      <c r="Z14" s="138">
        <f>Y14</f>
        <v>14285.714285714286</v>
      </c>
      <c r="AA14" s="138">
        <f t="shared" ref="AA14:AK14" si="7">Z14</f>
        <v>14285.714285714286</v>
      </c>
      <c r="AB14" s="138">
        <f t="shared" si="7"/>
        <v>14285.714285714286</v>
      </c>
      <c r="AC14" s="138">
        <f t="shared" si="7"/>
        <v>14285.714285714286</v>
      </c>
      <c r="AD14" s="138">
        <f t="shared" si="7"/>
        <v>14285.714285714286</v>
      </c>
      <c r="AE14" s="138">
        <f t="shared" si="7"/>
        <v>14285.714285714286</v>
      </c>
      <c r="AF14" s="138">
        <f t="shared" si="7"/>
        <v>14285.714285714286</v>
      </c>
      <c r="AG14" s="138">
        <f t="shared" si="7"/>
        <v>14285.714285714286</v>
      </c>
      <c r="AH14" s="138">
        <f t="shared" si="7"/>
        <v>14285.714285714286</v>
      </c>
      <c r="AI14" s="138">
        <f t="shared" si="7"/>
        <v>14285.714285714286</v>
      </c>
      <c r="AJ14" s="138">
        <f t="shared" si="7"/>
        <v>14285.714285714286</v>
      </c>
      <c r="AK14" s="138">
        <f t="shared" si="7"/>
        <v>14285.714285714286</v>
      </c>
    </row>
    <row r="15" spans="1:37">
      <c r="A15" s="68">
        <v>15</v>
      </c>
      <c r="B15" s="310"/>
      <c r="C15" s="69" t="s">
        <v>91</v>
      </c>
      <c r="D15" s="75">
        <f>E6/D10</f>
        <v>31250</v>
      </c>
      <c r="E15" s="93"/>
      <c r="F15" s="92"/>
      <c r="G15" s="75">
        <f>H6/G10</f>
        <v>31250</v>
      </c>
      <c r="H15" s="93"/>
      <c r="I15" s="92"/>
      <c r="J15" s="75">
        <f>K6/J10</f>
        <v>31250</v>
      </c>
      <c r="K15" s="93"/>
      <c r="L15" s="92"/>
      <c r="M15" s="75">
        <f>N6/M10</f>
        <v>31250</v>
      </c>
      <c r="N15" s="93"/>
      <c r="O15" s="92"/>
      <c r="P15" s="75">
        <f>Q6/P10</f>
        <v>31250</v>
      </c>
      <c r="Q15" s="93"/>
      <c r="R15" s="92"/>
      <c r="S15" s="75">
        <f>T6/S10</f>
        <v>31250</v>
      </c>
      <c r="T15" s="93"/>
      <c r="U15" s="92"/>
      <c r="V15" s="75">
        <f>W6/V10</f>
        <v>31250</v>
      </c>
      <c r="W15" s="93"/>
      <c r="X15" s="92"/>
      <c r="Y15" s="138">
        <f>V15</f>
        <v>31250</v>
      </c>
      <c r="Z15" s="138">
        <f>Y15</f>
        <v>31250</v>
      </c>
      <c r="AA15" s="138">
        <f t="shared" ref="AA15:AK15" si="8">Z15</f>
        <v>31250</v>
      </c>
      <c r="AB15" s="138">
        <f t="shared" si="8"/>
        <v>31250</v>
      </c>
      <c r="AC15" s="138">
        <f t="shared" si="8"/>
        <v>31250</v>
      </c>
      <c r="AD15" s="138">
        <f t="shared" si="8"/>
        <v>31250</v>
      </c>
      <c r="AE15" s="138">
        <f t="shared" si="8"/>
        <v>31250</v>
      </c>
      <c r="AF15" s="138">
        <f t="shared" si="8"/>
        <v>31250</v>
      </c>
      <c r="AG15" s="138">
        <f t="shared" si="8"/>
        <v>31250</v>
      </c>
      <c r="AH15" s="138">
        <f t="shared" si="8"/>
        <v>31250</v>
      </c>
      <c r="AI15" s="138">
        <f t="shared" si="8"/>
        <v>31250</v>
      </c>
      <c r="AJ15" s="138">
        <f t="shared" si="8"/>
        <v>31250</v>
      </c>
      <c r="AK15" s="138">
        <f t="shared" si="8"/>
        <v>31250</v>
      </c>
    </row>
    <row r="16" spans="1:37">
      <c r="A16" s="68">
        <v>16</v>
      </c>
      <c r="B16" s="310"/>
      <c r="C16" s="74" t="s">
        <v>75</v>
      </c>
      <c r="D16" s="76">
        <f>E7/D11</f>
        <v>7142.8571428571431</v>
      </c>
      <c r="E16" s="93"/>
      <c r="F16" s="92"/>
      <c r="G16" s="76">
        <f>H7/G11</f>
        <v>7142.8571428571431</v>
      </c>
      <c r="H16" s="93"/>
      <c r="I16" s="92"/>
      <c r="J16" s="76">
        <f>K7/J11</f>
        <v>7142.8571428571431</v>
      </c>
      <c r="K16" s="93"/>
      <c r="L16" s="92"/>
      <c r="M16" s="76">
        <f>N7/M11</f>
        <v>7142.8571428571431</v>
      </c>
      <c r="N16" s="93"/>
      <c r="O16" s="92"/>
      <c r="P16" s="76">
        <f>Q7/P11</f>
        <v>7142.8571428571431</v>
      </c>
      <c r="Q16" s="93"/>
      <c r="R16" s="92"/>
      <c r="S16" s="76">
        <f>T7/S11</f>
        <v>7142.8571428571431</v>
      </c>
      <c r="T16" s="93"/>
      <c r="U16" s="92"/>
      <c r="V16" s="76">
        <f>W7/V11</f>
        <v>7142.8571428571431</v>
      </c>
      <c r="W16" s="93"/>
      <c r="X16" s="92"/>
      <c r="Y16" s="138">
        <f>V16</f>
        <v>7142.8571428571431</v>
      </c>
      <c r="Z16" s="138">
        <f>Y16</f>
        <v>7142.8571428571431</v>
      </c>
      <c r="AA16" s="138">
        <f t="shared" ref="AA16:AK16" si="9">Z16</f>
        <v>7142.8571428571431</v>
      </c>
      <c r="AB16" s="138">
        <f t="shared" si="9"/>
        <v>7142.8571428571431</v>
      </c>
      <c r="AC16" s="138">
        <f t="shared" si="9"/>
        <v>7142.8571428571431</v>
      </c>
      <c r="AD16" s="138">
        <f t="shared" si="9"/>
        <v>7142.8571428571431</v>
      </c>
      <c r="AE16" s="138">
        <f t="shared" si="9"/>
        <v>7142.8571428571431</v>
      </c>
      <c r="AF16" s="138">
        <f t="shared" si="9"/>
        <v>7142.8571428571431</v>
      </c>
      <c r="AG16" s="138">
        <f t="shared" si="9"/>
        <v>7142.8571428571431</v>
      </c>
      <c r="AH16" s="138">
        <f t="shared" si="9"/>
        <v>7142.8571428571431</v>
      </c>
      <c r="AI16" s="138">
        <f t="shared" si="9"/>
        <v>7142.8571428571431</v>
      </c>
      <c r="AJ16" s="138">
        <f t="shared" si="9"/>
        <v>7142.8571428571431</v>
      </c>
      <c r="AK16" s="138">
        <f t="shared" si="9"/>
        <v>7142.8571428571431</v>
      </c>
    </row>
    <row r="17" spans="1:37">
      <c r="A17" s="68">
        <v>17</v>
      </c>
      <c r="B17" s="310"/>
      <c r="C17" s="66" t="s">
        <v>95</v>
      </c>
      <c r="D17" s="77" t="s">
        <v>96</v>
      </c>
      <c r="E17" s="94" t="s">
        <v>97</v>
      </c>
      <c r="F17" s="95" t="s">
        <v>98</v>
      </c>
      <c r="G17" s="77" t="s">
        <v>96</v>
      </c>
      <c r="H17" s="94" t="s">
        <v>97</v>
      </c>
      <c r="I17" s="95" t="s">
        <v>98</v>
      </c>
      <c r="J17" s="77" t="s">
        <v>96</v>
      </c>
      <c r="K17" s="94" t="s">
        <v>97</v>
      </c>
      <c r="L17" s="95" t="s">
        <v>98</v>
      </c>
      <c r="M17" s="77" t="s">
        <v>96</v>
      </c>
      <c r="N17" s="94" t="s">
        <v>97</v>
      </c>
      <c r="O17" s="95" t="s">
        <v>98</v>
      </c>
      <c r="P17" s="77" t="s">
        <v>96</v>
      </c>
      <c r="Q17" s="94" t="s">
        <v>97</v>
      </c>
      <c r="R17" s="95" t="s">
        <v>98</v>
      </c>
      <c r="S17" s="77" t="s">
        <v>96</v>
      </c>
      <c r="T17" s="94" t="s">
        <v>97</v>
      </c>
      <c r="U17" s="95" t="s">
        <v>98</v>
      </c>
      <c r="V17" s="77" t="s">
        <v>96</v>
      </c>
      <c r="W17" s="94" t="s">
        <v>97</v>
      </c>
      <c r="X17" s="95" t="s">
        <v>98</v>
      </c>
      <c r="Y17" s="100"/>
      <c r="Z17" s="100"/>
      <c r="AA17" s="100"/>
      <c r="AB17" s="100"/>
      <c r="AC17" s="100"/>
      <c r="AD17" s="100"/>
      <c r="AE17" s="100"/>
      <c r="AF17" s="100"/>
      <c r="AG17" s="100"/>
      <c r="AH17" s="100"/>
      <c r="AI17" s="100"/>
      <c r="AJ17" s="100"/>
      <c r="AK17" s="100"/>
    </row>
    <row r="18" spans="1:37">
      <c r="A18" s="68">
        <v>18</v>
      </c>
      <c r="B18" s="310"/>
      <c r="C18" s="69" t="s">
        <v>73</v>
      </c>
      <c r="D18" s="75">
        <v>56100</v>
      </c>
      <c r="E18" s="96">
        <v>15583.345800000001</v>
      </c>
      <c r="F18" s="92"/>
      <c r="G18" s="75">
        <v>56100</v>
      </c>
      <c r="H18" s="96">
        <v>15583.345800000001</v>
      </c>
      <c r="I18" s="92"/>
      <c r="J18" s="75">
        <v>56100</v>
      </c>
      <c r="K18" s="96">
        <v>15583.345800000001</v>
      </c>
      <c r="L18" s="92"/>
      <c r="M18" s="75">
        <v>56100</v>
      </c>
      <c r="N18" s="96">
        <v>15583.345800000001</v>
      </c>
      <c r="O18" s="92"/>
      <c r="P18" s="75">
        <v>56100</v>
      </c>
      <c r="Q18" s="96">
        <v>15583.345800000001</v>
      </c>
      <c r="R18" s="92"/>
      <c r="S18" s="75">
        <v>56100</v>
      </c>
      <c r="T18" s="96">
        <v>15583.345800000001</v>
      </c>
      <c r="U18" s="92"/>
      <c r="V18" s="75">
        <v>56100</v>
      </c>
      <c r="W18" s="96">
        <v>15583.345800000001</v>
      </c>
      <c r="X18" s="92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  <c r="AK18" s="100"/>
    </row>
    <row r="19" spans="1:37">
      <c r="A19" s="68">
        <v>19</v>
      </c>
      <c r="B19" s="310"/>
      <c r="C19" s="69" t="s">
        <v>74</v>
      </c>
      <c r="D19" s="75">
        <v>94600</v>
      </c>
      <c r="E19" s="96">
        <v>26277.798800000004</v>
      </c>
      <c r="F19" s="92"/>
      <c r="G19" s="75">
        <v>94600</v>
      </c>
      <c r="H19" s="96">
        <v>26277.798800000004</v>
      </c>
      <c r="I19" s="92"/>
      <c r="J19" s="75">
        <v>94600</v>
      </c>
      <c r="K19" s="96">
        <v>26277.798800000004</v>
      </c>
      <c r="L19" s="92"/>
      <c r="M19" s="75">
        <v>94600</v>
      </c>
      <c r="N19" s="96">
        <v>26277.798800000004</v>
      </c>
      <c r="O19" s="92"/>
      <c r="P19" s="75">
        <v>94600</v>
      </c>
      <c r="Q19" s="96">
        <v>26277.798800000004</v>
      </c>
      <c r="R19" s="92"/>
      <c r="S19" s="75">
        <v>94600</v>
      </c>
      <c r="T19" s="96">
        <v>26277.798800000004</v>
      </c>
      <c r="U19" s="92"/>
      <c r="V19" s="75">
        <v>94600</v>
      </c>
      <c r="W19" s="96">
        <v>26277.798800000004</v>
      </c>
      <c r="X19" s="92"/>
      <c r="Y19" s="100"/>
      <c r="Z19" s="100"/>
      <c r="AA19" s="100"/>
      <c r="AB19" s="100"/>
      <c r="AC19" s="100"/>
      <c r="AD19" s="100"/>
      <c r="AE19" s="100"/>
      <c r="AF19" s="100"/>
      <c r="AG19" s="100"/>
      <c r="AH19" s="100"/>
      <c r="AI19" s="100"/>
      <c r="AJ19" s="100"/>
      <c r="AK19" s="100"/>
    </row>
    <row r="20" spans="1:37">
      <c r="A20" s="68">
        <v>20</v>
      </c>
      <c r="B20" s="310"/>
      <c r="C20" s="69" t="s">
        <v>99</v>
      </c>
      <c r="D20" s="75">
        <v>77400</v>
      </c>
      <c r="E20" s="96">
        <v>21500.017200000002</v>
      </c>
      <c r="F20" s="92"/>
      <c r="G20" s="75">
        <v>77400</v>
      </c>
      <c r="H20" s="96">
        <v>21500.017200000002</v>
      </c>
      <c r="I20" s="92"/>
      <c r="J20" s="75">
        <v>77400</v>
      </c>
      <c r="K20" s="96">
        <v>21500.017200000002</v>
      </c>
      <c r="L20" s="92"/>
      <c r="M20" s="75">
        <v>77400</v>
      </c>
      <c r="N20" s="96">
        <v>21500.017200000002</v>
      </c>
      <c r="O20" s="92"/>
      <c r="P20" s="75">
        <v>77400</v>
      </c>
      <c r="Q20" s="96">
        <v>21500.017200000002</v>
      </c>
      <c r="R20" s="92"/>
      <c r="S20" s="75">
        <v>77400</v>
      </c>
      <c r="T20" s="96">
        <v>21500.017200000002</v>
      </c>
      <c r="U20" s="92"/>
      <c r="V20" s="75">
        <v>77400</v>
      </c>
      <c r="W20" s="96">
        <v>21500.017200000002</v>
      </c>
      <c r="X20" s="92"/>
      <c r="Y20" s="100"/>
      <c r="Z20" s="100"/>
      <c r="AA20" s="100"/>
      <c r="AB20" s="100"/>
      <c r="AC20" s="100"/>
      <c r="AD20" s="100"/>
      <c r="AE20" s="100"/>
      <c r="AF20" s="100"/>
      <c r="AG20" s="100"/>
      <c r="AH20" s="100"/>
      <c r="AI20" s="100"/>
      <c r="AJ20" s="100"/>
      <c r="AK20" s="100"/>
    </row>
    <row r="21" spans="1:37">
      <c r="A21" s="68">
        <v>21</v>
      </c>
      <c r="B21" s="310"/>
      <c r="C21" s="74" t="s">
        <v>75</v>
      </c>
      <c r="D21" s="76">
        <v>101000</v>
      </c>
      <c r="E21" s="96">
        <v>28055.578000000001</v>
      </c>
      <c r="F21" s="92"/>
      <c r="G21" s="76">
        <v>101000</v>
      </c>
      <c r="H21" s="96">
        <v>28055.578000000001</v>
      </c>
      <c r="I21" s="92"/>
      <c r="J21" s="76">
        <v>101000</v>
      </c>
      <c r="K21" s="96">
        <v>28055.578000000001</v>
      </c>
      <c r="L21" s="92"/>
      <c r="M21" s="76">
        <v>101000</v>
      </c>
      <c r="N21" s="96">
        <v>28055.578000000001</v>
      </c>
      <c r="O21" s="92"/>
      <c r="P21" s="76">
        <v>101000</v>
      </c>
      <c r="Q21" s="96">
        <v>28055.578000000001</v>
      </c>
      <c r="R21" s="92"/>
      <c r="S21" s="76">
        <v>101000</v>
      </c>
      <c r="T21" s="96">
        <v>28055.578000000001</v>
      </c>
      <c r="U21" s="92"/>
      <c r="V21" s="76">
        <v>101000</v>
      </c>
      <c r="W21" s="96">
        <v>28055.578000000001</v>
      </c>
      <c r="X21" s="92"/>
      <c r="Y21" s="100"/>
      <c r="Z21" s="100"/>
      <c r="AA21" s="100"/>
      <c r="AB21" s="100"/>
      <c r="AC21" s="100"/>
      <c r="AD21" s="100"/>
      <c r="AE21" s="100"/>
      <c r="AF21" s="100"/>
      <c r="AG21" s="100"/>
      <c r="AH21" s="100"/>
      <c r="AI21" s="100"/>
      <c r="AJ21" s="100"/>
      <c r="AK21" s="100"/>
    </row>
    <row r="22" spans="1:37">
      <c r="A22" s="68">
        <v>22</v>
      </c>
      <c r="B22" s="310"/>
      <c r="C22" s="103" t="s">
        <v>100</v>
      </c>
      <c r="D22" s="104"/>
      <c r="E22" s="108"/>
      <c r="F22" s="106"/>
      <c r="G22" s="104"/>
      <c r="H22" s="108"/>
      <c r="I22" s="106"/>
      <c r="J22" s="104"/>
      <c r="K22" s="108"/>
      <c r="L22" s="106"/>
      <c r="M22" s="104"/>
      <c r="N22" s="108"/>
      <c r="O22" s="106"/>
      <c r="P22" s="104"/>
      <c r="Q22" s="108"/>
      <c r="R22" s="106"/>
      <c r="S22" s="104"/>
      <c r="T22" s="108"/>
      <c r="U22" s="106"/>
      <c r="V22" s="104"/>
      <c r="W22" s="108"/>
      <c r="X22" s="106"/>
      <c r="Y22" s="100"/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  <c r="AK22" s="100"/>
    </row>
    <row r="23" spans="1:37">
      <c r="A23" s="68">
        <v>23</v>
      </c>
      <c r="B23" s="310"/>
      <c r="C23" s="69" t="s">
        <v>74</v>
      </c>
      <c r="D23" s="78">
        <f>D14*E19/1000</f>
        <v>375397.12571428576</v>
      </c>
      <c r="E23" s="93"/>
      <c r="F23" s="92"/>
      <c r="G23" s="78">
        <f>G14*H19/1000</f>
        <v>375397.12571428576</v>
      </c>
      <c r="H23" s="93"/>
      <c r="I23" s="92"/>
      <c r="J23" s="78">
        <f>J14*K19/1000</f>
        <v>375397.12571428576</v>
      </c>
      <c r="K23" s="93"/>
      <c r="L23" s="92"/>
      <c r="M23" s="78">
        <f>M14*N19/1000</f>
        <v>375397.12571428576</v>
      </c>
      <c r="N23" s="93"/>
      <c r="O23" s="92"/>
      <c r="P23" s="78">
        <f>P14*Q19/1000</f>
        <v>375397.12571428576</v>
      </c>
      <c r="Q23" s="93"/>
      <c r="R23" s="92"/>
      <c r="S23" s="78">
        <f>S14*T19/1000</f>
        <v>375397.12571428576</v>
      </c>
      <c r="T23" s="93"/>
      <c r="U23" s="92"/>
      <c r="V23" s="78">
        <f>V14*W19/1000</f>
        <v>375397.12571428576</v>
      </c>
      <c r="W23" s="93"/>
      <c r="X23" s="92"/>
      <c r="Y23" s="100"/>
      <c r="Z23" s="100"/>
      <c r="AA23" s="100"/>
      <c r="AB23" s="100"/>
      <c r="AC23" s="100"/>
      <c r="AD23" s="100"/>
      <c r="AE23" s="100"/>
      <c r="AF23" s="100"/>
      <c r="AG23" s="100"/>
      <c r="AH23" s="100"/>
      <c r="AI23" s="100"/>
      <c r="AJ23" s="100"/>
      <c r="AK23" s="100"/>
    </row>
    <row r="24" spans="1:37">
      <c r="A24" s="68">
        <v>24</v>
      </c>
      <c r="B24" s="310"/>
      <c r="C24" s="69" t="s">
        <v>99</v>
      </c>
      <c r="D24" s="78">
        <f>D15*E20/1000</f>
        <v>671875.53750000009</v>
      </c>
      <c r="E24" s="93"/>
      <c r="F24" s="92"/>
      <c r="G24" s="78">
        <f>G15*H20/1000</f>
        <v>671875.53750000009</v>
      </c>
      <c r="H24" s="93"/>
      <c r="I24" s="92"/>
      <c r="J24" s="78">
        <f>J15*K20/1000</f>
        <v>671875.53750000009</v>
      </c>
      <c r="K24" s="93"/>
      <c r="L24" s="92"/>
      <c r="M24" s="78">
        <f>M15*N20/1000</f>
        <v>671875.53750000009</v>
      </c>
      <c r="N24" s="93"/>
      <c r="O24" s="92"/>
      <c r="P24" s="78">
        <f>P15*Q20/1000</f>
        <v>671875.53750000009</v>
      </c>
      <c r="Q24" s="93"/>
      <c r="R24" s="92"/>
      <c r="S24" s="78">
        <f>S15*T20/1000</f>
        <v>671875.53750000009</v>
      </c>
      <c r="T24" s="93"/>
      <c r="U24" s="92"/>
      <c r="V24" s="78">
        <f>V15*W20/1000</f>
        <v>671875.53750000009</v>
      </c>
      <c r="W24" s="93"/>
      <c r="X24" s="92"/>
      <c r="Y24" s="100"/>
      <c r="Z24" s="100"/>
      <c r="AA24" s="100"/>
      <c r="AB24" s="100"/>
      <c r="AC24" s="100"/>
      <c r="AD24" s="100"/>
      <c r="AE24" s="100"/>
      <c r="AF24" s="100"/>
      <c r="AG24" s="100"/>
      <c r="AH24" s="100"/>
      <c r="AI24" s="100"/>
      <c r="AJ24" s="100"/>
      <c r="AK24" s="100"/>
    </row>
    <row r="25" spans="1:37">
      <c r="A25" s="68">
        <v>25</v>
      </c>
      <c r="B25" s="310"/>
      <c r="C25" s="74" t="s">
        <v>75</v>
      </c>
      <c r="D25" s="79">
        <f>D16*E21/1000</f>
        <v>200396.98571428572</v>
      </c>
      <c r="E25" s="93"/>
      <c r="F25" s="92"/>
      <c r="G25" s="79">
        <f>G16*H21/1000</f>
        <v>200396.98571428572</v>
      </c>
      <c r="H25" s="93"/>
      <c r="I25" s="92"/>
      <c r="J25" s="79">
        <f>J16*K21/1000</f>
        <v>200396.98571428572</v>
      </c>
      <c r="K25" s="93"/>
      <c r="L25" s="92"/>
      <c r="M25" s="79">
        <f>M16*N21/1000</f>
        <v>200396.98571428572</v>
      </c>
      <c r="N25" s="93"/>
      <c r="O25" s="92"/>
      <c r="P25" s="79">
        <f>P16*Q21/1000</f>
        <v>200396.98571428572</v>
      </c>
      <c r="Q25" s="93"/>
      <c r="R25" s="92"/>
      <c r="S25" s="79">
        <f>S16*T21/1000</f>
        <v>200396.98571428572</v>
      </c>
      <c r="T25" s="93"/>
      <c r="U25" s="92"/>
      <c r="V25" s="79">
        <f>V16*W21/1000</f>
        <v>200396.98571428572</v>
      </c>
      <c r="W25" s="93"/>
      <c r="X25" s="92"/>
      <c r="Y25" s="100"/>
      <c r="Z25" s="100"/>
      <c r="AA25" s="100"/>
      <c r="AB25" s="100"/>
      <c r="AC25" s="100"/>
      <c r="AD25" s="100"/>
      <c r="AE25" s="100"/>
      <c r="AF25" s="100"/>
      <c r="AG25" s="100"/>
      <c r="AH25" s="100"/>
      <c r="AI25" s="100"/>
      <c r="AJ25" s="100"/>
      <c r="AK25" s="100"/>
    </row>
    <row r="26" spans="1:37" ht="16.5" thickBot="1">
      <c r="A26" s="68">
        <v>26</v>
      </c>
      <c r="B26" s="310"/>
      <c r="C26" s="109" t="s">
        <v>101</v>
      </c>
      <c r="D26" s="110">
        <f>SUM(D23:D25)</f>
        <v>1247669.6489285715</v>
      </c>
      <c r="E26" s="111"/>
      <c r="F26" s="112"/>
      <c r="G26" s="110">
        <f>SUM(G23:G25)</f>
        <v>1247669.6489285715</v>
      </c>
      <c r="H26" s="111"/>
      <c r="I26" s="112"/>
      <c r="J26" s="110">
        <f>SUM(J23:J25)</f>
        <v>1247669.6489285715</v>
      </c>
      <c r="K26" s="111"/>
      <c r="L26" s="112"/>
      <c r="M26" s="110">
        <f>SUM(M23:M25)</f>
        <v>1247669.6489285715</v>
      </c>
      <c r="N26" s="111"/>
      <c r="O26" s="112"/>
      <c r="P26" s="110">
        <f>SUM(P23:P25)</f>
        <v>1247669.6489285715</v>
      </c>
      <c r="Q26" s="111"/>
      <c r="R26" s="112"/>
      <c r="S26" s="110">
        <f>SUM(S23:S25)</f>
        <v>1247669.6489285715</v>
      </c>
      <c r="T26" s="111"/>
      <c r="U26" s="112"/>
      <c r="V26" s="110">
        <f>SUM(V23:V25)</f>
        <v>1247669.6489285715</v>
      </c>
      <c r="W26" s="111"/>
      <c r="X26" s="112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0"/>
      <c r="AK26" s="100"/>
    </row>
    <row r="27" spans="1:37" ht="16.5" thickTop="1">
      <c r="A27" s="68">
        <v>27</v>
      </c>
      <c r="B27" s="310" t="s">
        <v>102</v>
      </c>
      <c r="C27" s="103" t="s">
        <v>103</v>
      </c>
      <c r="D27" s="113"/>
      <c r="E27" s="108"/>
      <c r="F27" s="106"/>
      <c r="G27" s="113"/>
      <c r="H27" s="108"/>
      <c r="I27" s="106"/>
      <c r="J27" s="113"/>
      <c r="K27" s="108"/>
      <c r="L27" s="106"/>
      <c r="M27" s="113"/>
      <c r="N27" s="108"/>
      <c r="O27" s="106"/>
      <c r="P27" s="113"/>
      <c r="Q27" s="108"/>
      <c r="R27" s="106"/>
      <c r="S27" s="113"/>
      <c r="T27" s="108"/>
      <c r="U27" s="106"/>
      <c r="V27" s="113"/>
      <c r="W27" s="108"/>
      <c r="X27" s="106"/>
      <c r="Y27" s="100"/>
      <c r="Z27" s="100"/>
      <c r="AA27" s="100"/>
      <c r="AB27" s="100"/>
      <c r="AC27" s="100"/>
      <c r="AD27" s="100"/>
      <c r="AE27" s="100"/>
      <c r="AF27" s="100"/>
      <c r="AG27" s="100"/>
      <c r="AH27" s="100"/>
      <c r="AI27" s="100"/>
      <c r="AJ27" s="100"/>
      <c r="AK27" s="100"/>
    </row>
    <row r="28" spans="1:37">
      <c r="A28" s="68">
        <v>28</v>
      </c>
      <c r="B28" s="310"/>
      <c r="C28" s="69" t="s">
        <v>74</v>
      </c>
      <c r="D28" s="75">
        <f>E5/$D$12</f>
        <v>10000</v>
      </c>
      <c r="E28" s="93"/>
      <c r="F28" s="92"/>
      <c r="G28" s="75">
        <f>H5/$D$12</f>
        <v>10000</v>
      </c>
      <c r="H28" s="93"/>
      <c r="I28" s="92"/>
      <c r="J28" s="75">
        <f>K5/$D$12</f>
        <v>10000</v>
      </c>
      <c r="K28" s="93"/>
      <c r="L28" s="92"/>
      <c r="M28" s="75">
        <f>N5/$D$12</f>
        <v>10000</v>
      </c>
      <c r="N28" s="93"/>
      <c r="O28" s="92"/>
      <c r="P28" s="75">
        <f>Q5/$D$12</f>
        <v>10000</v>
      </c>
      <c r="Q28" s="93"/>
      <c r="R28" s="92"/>
      <c r="S28" s="75">
        <f>T5/$D$12</f>
        <v>10000</v>
      </c>
      <c r="T28" s="93"/>
      <c r="U28" s="92"/>
      <c r="V28" s="75">
        <f>W5/$D$12</f>
        <v>10000</v>
      </c>
      <c r="W28" s="93"/>
      <c r="X28" s="92"/>
      <c r="Y28" s="100"/>
      <c r="Z28" s="100"/>
      <c r="AA28" s="100"/>
      <c r="AB28" s="100"/>
      <c r="AC28" s="100"/>
      <c r="AD28" s="100"/>
      <c r="AE28" s="100"/>
      <c r="AF28" s="100"/>
      <c r="AG28" s="100"/>
      <c r="AH28" s="100"/>
      <c r="AI28" s="100"/>
      <c r="AJ28" s="100"/>
      <c r="AK28" s="100"/>
    </row>
    <row r="29" spans="1:37">
      <c r="A29" s="68">
        <v>29</v>
      </c>
      <c r="B29" s="310"/>
      <c r="C29" s="69" t="s">
        <v>91</v>
      </c>
      <c r="D29" s="75">
        <f>E6/$D$12</f>
        <v>25000</v>
      </c>
      <c r="E29" s="93"/>
      <c r="F29" s="92"/>
      <c r="G29" s="75">
        <f>H6/$D$12</f>
        <v>25000</v>
      </c>
      <c r="H29" s="93"/>
      <c r="I29" s="92"/>
      <c r="J29" s="75">
        <f>K6/$D$12</f>
        <v>25000</v>
      </c>
      <c r="K29" s="93"/>
      <c r="L29" s="92"/>
      <c r="M29" s="75">
        <f>N6/$D$12</f>
        <v>25000</v>
      </c>
      <c r="N29" s="93"/>
      <c r="O29" s="92"/>
      <c r="P29" s="75">
        <f>Q6/$D$12</f>
        <v>25000</v>
      </c>
      <c r="Q29" s="93"/>
      <c r="R29" s="92"/>
      <c r="S29" s="75">
        <f>T6/$D$12</f>
        <v>25000</v>
      </c>
      <c r="T29" s="93"/>
      <c r="U29" s="92"/>
      <c r="V29" s="75">
        <f>W6/$D$12</f>
        <v>25000</v>
      </c>
      <c r="W29" s="93"/>
      <c r="X29" s="92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</row>
    <row r="30" spans="1:37">
      <c r="A30" s="68">
        <v>30</v>
      </c>
      <c r="B30" s="310"/>
      <c r="C30" s="74" t="s">
        <v>75</v>
      </c>
      <c r="D30" s="76">
        <f>E7/$D$12</f>
        <v>5000</v>
      </c>
      <c r="E30" s="93"/>
      <c r="F30" s="92"/>
      <c r="G30" s="76">
        <f>H7/$D$12</f>
        <v>5000</v>
      </c>
      <c r="H30" s="93"/>
      <c r="I30" s="92"/>
      <c r="J30" s="76">
        <f>K7/$D$12</f>
        <v>5000</v>
      </c>
      <c r="K30" s="93"/>
      <c r="L30" s="92"/>
      <c r="M30" s="76">
        <f>N7/$D$12</f>
        <v>5000</v>
      </c>
      <c r="N30" s="93"/>
      <c r="O30" s="92"/>
      <c r="P30" s="76">
        <f>Q7/$D$12</f>
        <v>5000</v>
      </c>
      <c r="Q30" s="93"/>
      <c r="R30" s="92"/>
      <c r="S30" s="76">
        <f>T7/$D$12</f>
        <v>5000</v>
      </c>
      <c r="T30" s="93"/>
      <c r="U30" s="92"/>
      <c r="V30" s="76">
        <f>W7/$D$12</f>
        <v>5000</v>
      </c>
      <c r="W30" s="93"/>
      <c r="X30" s="92"/>
      <c r="Y30" s="100"/>
      <c r="Z30" s="100"/>
      <c r="AA30" s="100"/>
      <c r="AB30" s="100"/>
      <c r="AC30" s="100"/>
      <c r="AD30" s="100"/>
      <c r="AE30" s="100"/>
      <c r="AF30" s="100"/>
      <c r="AG30" s="100"/>
      <c r="AH30" s="100"/>
      <c r="AI30" s="100"/>
      <c r="AJ30" s="100"/>
      <c r="AK30" s="100"/>
    </row>
    <row r="31" spans="1:37">
      <c r="A31" s="68">
        <v>31</v>
      </c>
      <c r="B31" s="310"/>
      <c r="C31" s="217" t="s">
        <v>104</v>
      </c>
      <c r="D31" s="119">
        <f>'input ec analysis'!G12</f>
        <v>9561.448462999133</v>
      </c>
      <c r="E31" s="97"/>
      <c r="F31" s="98"/>
      <c r="G31" s="119">
        <f>'input ec analysis'!H12</f>
        <v>9471.5133932491117</v>
      </c>
      <c r="H31" s="97"/>
      <c r="I31" s="98"/>
      <c r="J31" s="119">
        <f>'input ec analysis'!I12</f>
        <v>9543.8758883187438</v>
      </c>
      <c r="K31" s="97"/>
      <c r="L31" s="98"/>
      <c r="M31" s="80">
        <f>'input ec analysis'!J12</f>
        <v>9474.5394620658662</v>
      </c>
      <c r="N31" s="97"/>
      <c r="O31" s="98"/>
      <c r="P31" s="119">
        <f>'input ec analysis'!K12</f>
        <v>9426.3992457688619</v>
      </c>
      <c r="Q31" s="97"/>
      <c r="R31" s="98"/>
      <c r="S31" s="119">
        <f>'input ec analysis'!L12</f>
        <v>9410.7318975810176</v>
      </c>
      <c r="T31" s="97"/>
      <c r="U31" s="98"/>
      <c r="V31" s="119">
        <f>'input ec analysis'!M12</f>
        <v>9482.5068195764979</v>
      </c>
      <c r="W31" s="97"/>
      <c r="X31" s="98"/>
      <c r="Y31" s="146">
        <f>V31</f>
        <v>9482.5068195764979</v>
      </c>
      <c r="Z31" s="146">
        <f>Y31</f>
        <v>9482.5068195764979</v>
      </c>
      <c r="AA31" s="146">
        <f t="shared" ref="AA31:AK31" si="10">Z31</f>
        <v>9482.5068195764979</v>
      </c>
      <c r="AB31" s="146">
        <f t="shared" si="10"/>
        <v>9482.5068195764979</v>
      </c>
      <c r="AC31" s="146">
        <f t="shared" si="10"/>
        <v>9482.5068195764979</v>
      </c>
      <c r="AD31" s="146">
        <f t="shared" si="10"/>
        <v>9482.5068195764979</v>
      </c>
      <c r="AE31" s="146">
        <f t="shared" si="10"/>
        <v>9482.5068195764979</v>
      </c>
      <c r="AF31" s="146">
        <f t="shared" si="10"/>
        <v>9482.5068195764979</v>
      </c>
      <c r="AG31" s="146">
        <f t="shared" si="10"/>
        <v>9482.5068195764979</v>
      </c>
      <c r="AH31" s="146">
        <f t="shared" si="10"/>
        <v>9482.5068195764979</v>
      </c>
      <c r="AI31" s="146">
        <f t="shared" si="10"/>
        <v>9482.5068195764979</v>
      </c>
      <c r="AJ31" s="146">
        <f t="shared" si="10"/>
        <v>9482.5068195764979</v>
      </c>
      <c r="AK31" s="146">
        <f t="shared" si="10"/>
        <v>9482.5068195764979</v>
      </c>
    </row>
    <row r="32" spans="1:37">
      <c r="A32" s="68">
        <v>32</v>
      </c>
      <c r="B32" s="310"/>
      <c r="C32" s="114" t="s">
        <v>105</v>
      </c>
      <c r="D32" s="113"/>
      <c r="E32" s="108"/>
      <c r="F32" s="106"/>
      <c r="G32" s="113"/>
      <c r="H32" s="108"/>
      <c r="I32" s="106"/>
      <c r="J32" s="113"/>
      <c r="K32" s="108"/>
      <c r="L32" s="106"/>
      <c r="M32" s="113"/>
      <c r="N32" s="108"/>
      <c r="O32" s="106"/>
      <c r="P32" s="113"/>
      <c r="Q32" s="108"/>
      <c r="R32" s="106"/>
      <c r="S32" s="113"/>
      <c r="T32" s="108"/>
      <c r="U32" s="106"/>
      <c r="V32" s="113"/>
      <c r="W32" s="108"/>
      <c r="X32" s="106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</row>
    <row r="33" spans="1:37">
      <c r="A33" s="68">
        <v>33</v>
      </c>
      <c r="B33" s="310"/>
      <c r="C33" s="81" t="s">
        <v>74</v>
      </c>
      <c r="D33" s="82">
        <f>D28*2/3</f>
        <v>6666.666666666667</v>
      </c>
      <c r="E33" s="93"/>
      <c r="F33" s="92"/>
      <c r="G33" s="82">
        <f>G28*2/3</f>
        <v>6666.666666666667</v>
      </c>
      <c r="H33" s="93"/>
      <c r="I33" s="92"/>
      <c r="J33" s="82">
        <f>J28*2/3</f>
        <v>6666.666666666667</v>
      </c>
      <c r="K33" s="93"/>
      <c r="L33" s="92"/>
      <c r="M33" s="82">
        <f>M28*2/3</f>
        <v>6666.666666666667</v>
      </c>
      <c r="N33" s="93"/>
      <c r="O33" s="92"/>
      <c r="P33" s="82">
        <f>P28*2/3</f>
        <v>6666.666666666667</v>
      </c>
      <c r="Q33" s="93"/>
      <c r="R33" s="92"/>
      <c r="S33" s="82">
        <f>S28*2/3</f>
        <v>6666.666666666667</v>
      </c>
      <c r="T33" s="93"/>
      <c r="U33" s="92"/>
      <c r="V33" s="82">
        <f>V28*2/3</f>
        <v>6666.666666666667</v>
      </c>
      <c r="W33" s="93"/>
      <c r="X33" s="92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</row>
    <row r="34" spans="1:37">
      <c r="A34" s="68">
        <v>34</v>
      </c>
      <c r="B34" s="310"/>
      <c r="C34" s="81" t="s">
        <v>99</v>
      </c>
      <c r="D34" s="75">
        <f>D29*2/3</f>
        <v>16666.666666666668</v>
      </c>
      <c r="E34" s="93"/>
      <c r="F34" s="92"/>
      <c r="G34" s="75">
        <f>G29*2/3</f>
        <v>16666.666666666668</v>
      </c>
      <c r="H34" s="93"/>
      <c r="I34" s="92"/>
      <c r="J34" s="75">
        <f>J29*2/3</f>
        <v>16666.666666666668</v>
      </c>
      <c r="K34" s="93"/>
      <c r="L34" s="92"/>
      <c r="M34" s="75">
        <f>M29*2/3</f>
        <v>16666.666666666668</v>
      </c>
      <c r="N34" s="93"/>
      <c r="O34" s="92"/>
      <c r="P34" s="75">
        <f>P29*2/3</f>
        <v>16666.666666666668</v>
      </c>
      <c r="Q34" s="93"/>
      <c r="R34" s="92"/>
      <c r="S34" s="75">
        <f>S29*2/3</f>
        <v>16666.666666666668</v>
      </c>
      <c r="T34" s="93"/>
      <c r="U34" s="92"/>
      <c r="V34" s="75">
        <f>V29*2/3</f>
        <v>16666.666666666668</v>
      </c>
      <c r="W34" s="93"/>
      <c r="X34" s="92"/>
      <c r="Y34" s="100"/>
      <c r="Z34" s="100"/>
      <c r="AA34" s="100"/>
      <c r="AB34" s="100"/>
      <c r="AC34" s="100"/>
      <c r="AD34" s="100"/>
      <c r="AE34" s="100"/>
      <c r="AF34" s="100"/>
      <c r="AG34" s="100"/>
      <c r="AH34" s="100"/>
      <c r="AI34" s="100"/>
      <c r="AJ34" s="100"/>
      <c r="AK34" s="100"/>
    </row>
    <row r="35" spans="1:37">
      <c r="A35" s="68">
        <v>35</v>
      </c>
      <c r="B35" s="310"/>
      <c r="C35" s="74" t="s">
        <v>75</v>
      </c>
      <c r="D35" s="122">
        <f>D30*2/3</f>
        <v>3333.3333333333335</v>
      </c>
      <c r="E35" s="93"/>
      <c r="F35" s="92"/>
      <c r="G35" s="76">
        <f>G30*2/3</f>
        <v>3333.3333333333335</v>
      </c>
      <c r="H35" s="93"/>
      <c r="I35" s="92"/>
      <c r="J35" s="76">
        <f>J30*2/3</f>
        <v>3333.3333333333335</v>
      </c>
      <c r="K35" s="93"/>
      <c r="L35" s="92"/>
      <c r="M35" s="76">
        <f>M30*2/3</f>
        <v>3333.3333333333335</v>
      </c>
      <c r="N35" s="93"/>
      <c r="O35" s="92"/>
      <c r="P35" s="76">
        <f>P30*2/3</f>
        <v>3333.3333333333335</v>
      </c>
      <c r="Q35" s="93"/>
      <c r="R35" s="92"/>
      <c r="S35" s="76">
        <f>S30*2/3</f>
        <v>3333.3333333333335</v>
      </c>
      <c r="T35" s="93"/>
      <c r="U35" s="92"/>
      <c r="V35" s="76">
        <f>V30*2/3</f>
        <v>3333.3333333333335</v>
      </c>
      <c r="W35" s="93"/>
      <c r="X35" s="92"/>
      <c r="Y35" s="100"/>
      <c r="Z35" s="100"/>
      <c r="AA35" s="100"/>
      <c r="AB35" s="100"/>
      <c r="AC35" s="100"/>
      <c r="AD35" s="100"/>
      <c r="AE35" s="100"/>
      <c r="AF35" s="100"/>
      <c r="AG35" s="100"/>
      <c r="AH35" s="100"/>
      <c r="AI35" s="100"/>
      <c r="AJ35" s="100"/>
      <c r="AK35" s="100"/>
    </row>
    <row r="36" spans="1:37">
      <c r="A36" s="68">
        <v>36</v>
      </c>
      <c r="B36" s="310"/>
      <c r="C36" s="114" t="s">
        <v>112</v>
      </c>
      <c r="D36" s="113"/>
      <c r="E36" s="108"/>
      <c r="F36" s="106"/>
      <c r="G36" s="113"/>
      <c r="H36" s="108"/>
      <c r="I36" s="106"/>
      <c r="J36" s="113"/>
      <c r="K36" s="108"/>
      <c r="L36" s="106"/>
      <c r="M36" s="113"/>
      <c r="N36" s="108"/>
      <c r="O36" s="106"/>
      <c r="P36" s="113"/>
      <c r="Q36" s="108"/>
      <c r="R36" s="106"/>
      <c r="S36" s="113"/>
      <c r="T36" s="108"/>
      <c r="U36" s="106"/>
      <c r="V36" s="113"/>
      <c r="W36" s="108"/>
      <c r="X36" s="106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</row>
    <row r="37" spans="1:37">
      <c r="A37" s="68">
        <v>37</v>
      </c>
      <c r="B37" s="310"/>
      <c r="C37" s="81" t="s">
        <v>74</v>
      </c>
      <c r="D37" s="123">
        <f>D33</f>
        <v>6666.666666666667</v>
      </c>
      <c r="E37" s="93"/>
      <c r="F37" s="92"/>
      <c r="G37" s="75">
        <f>G33</f>
        <v>6666.666666666667</v>
      </c>
      <c r="H37" s="93"/>
      <c r="I37" s="92"/>
      <c r="J37" s="75">
        <f>J33</f>
        <v>6666.666666666667</v>
      </c>
      <c r="K37" s="93"/>
      <c r="L37" s="92"/>
      <c r="M37" s="75">
        <f>M33</f>
        <v>6666.666666666667</v>
      </c>
      <c r="N37" s="93"/>
      <c r="O37" s="92"/>
      <c r="P37" s="75">
        <f>P33</f>
        <v>6666.666666666667</v>
      </c>
      <c r="Q37" s="93"/>
      <c r="R37" s="92"/>
      <c r="S37" s="75">
        <f>S33</f>
        <v>6666.666666666667</v>
      </c>
      <c r="T37" s="93"/>
      <c r="U37" s="92"/>
      <c r="V37" s="75">
        <f>V33</f>
        <v>6666.666666666667</v>
      </c>
      <c r="W37" s="93"/>
      <c r="X37" s="92"/>
      <c r="Y37" s="100"/>
      <c r="Z37" s="100"/>
      <c r="AA37" s="100"/>
      <c r="AB37" s="100"/>
      <c r="AC37" s="100"/>
      <c r="AD37" s="100"/>
      <c r="AE37" s="100"/>
      <c r="AF37" s="100"/>
      <c r="AG37" s="100"/>
      <c r="AH37" s="100"/>
      <c r="AI37" s="100"/>
      <c r="AJ37" s="100"/>
      <c r="AK37" s="100"/>
    </row>
    <row r="38" spans="1:37">
      <c r="A38" s="68">
        <v>38</v>
      </c>
      <c r="B38" s="310"/>
      <c r="C38" s="83" t="s">
        <v>99</v>
      </c>
      <c r="D38" s="84">
        <f>D31-D37</f>
        <v>2894.781796332466</v>
      </c>
      <c r="E38" s="93"/>
      <c r="F38" s="92"/>
      <c r="G38" s="84">
        <f>G31-G37</f>
        <v>2804.8467265824447</v>
      </c>
      <c r="H38" s="93"/>
      <c r="I38" s="92"/>
      <c r="J38" s="84">
        <f>J31-J37</f>
        <v>2877.2092216520768</v>
      </c>
      <c r="K38" s="93"/>
      <c r="L38" s="92"/>
      <c r="M38" s="84">
        <f>M31-M37</f>
        <v>2807.8727953991993</v>
      </c>
      <c r="N38" s="93"/>
      <c r="O38" s="92"/>
      <c r="P38" s="84">
        <f>P31-P37</f>
        <v>2759.7325791021949</v>
      </c>
      <c r="Q38" s="93"/>
      <c r="R38" s="92"/>
      <c r="S38" s="84">
        <f>S31-S37</f>
        <v>2744.0652309143506</v>
      </c>
      <c r="T38" s="93"/>
      <c r="U38" s="92"/>
      <c r="V38" s="84">
        <f>V31-V37</f>
        <v>2815.840152909831</v>
      </c>
      <c r="W38" s="93"/>
      <c r="X38" s="92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</row>
    <row r="39" spans="1:37" ht="16.5" thickBot="1">
      <c r="A39" s="68">
        <v>39</v>
      </c>
      <c r="B39" s="310"/>
      <c r="C39" s="64" t="s">
        <v>75</v>
      </c>
      <c r="D39" s="124"/>
      <c r="E39" s="93"/>
      <c r="F39" s="92"/>
      <c r="G39" s="85">
        <f>G31-G37-G38</f>
        <v>0</v>
      </c>
      <c r="H39" s="93"/>
      <c r="I39" s="92"/>
      <c r="J39" s="85">
        <f>J31-J37-J38</f>
        <v>0</v>
      </c>
      <c r="K39" s="93"/>
      <c r="L39" s="92"/>
      <c r="M39" s="85">
        <f>M31-M37-M38</f>
        <v>0</v>
      </c>
      <c r="N39" s="93"/>
      <c r="O39" s="92"/>
      <c r="P39" s="85">
        <f>P31-P37-P38</f>
        <v>0</v>
      </c>
      <c r="Q39" s="93"/>
      <c r="R39" s="92"/>
      <c r="S39" s="85">
        <f>S31-S37-S38</f>
        <v>0</v>
      </c>
      <c r="T39" s="93"/>
      <c r="U39" s="92"/>
      <c r="V39" s="85">
        <f>V31-V37-V38</f>
        <v>0</v>
      </c>
      <c r="W39" s="93"/>
      <c r="X39" s="92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  <c r="AJ39" s="100"/>
      <c r="AK39" s="100"/>
    </row>
    <row r="40" spans="1:37" ht="16.5" thickTop="1">
      <c r="A40" s="68">
        <v>40</v>
      </c>
      <c r="B40" s="310" t="s">
        <v>107</v>
      </c>
      <c r="C40" s="114" t="s">
        <v>113</v>
      </c>
      <c r="D40" s="104"/>
      <c r="E40" s="108"/>
      <c r="F40" s="106"/>
      <c r="G40" s="104"/>
      <c r="H40" s="108"/>
      <c r="I40" s="106"/>
      <c r="J40" s="104"/>
      <c r="K40" s="108"/>
      <c r="L40" s="106"/>
      <c r="M40" s="104"/>
      <c r="N40" s="108"/>
      <c r="O40" s="106"/>
      <c r="P40" s="104"/>
      <c r="Q40" s="108"/>
      <c r="R40" s="106"/>
      <c r="S40" s="104"/>
      <c r="T40" s="108"/>
      <c r="U40" s="106"/>
      <c r="V40" s="104"/>
      <c r="W40" s="108"/>
      <c r="X40" s="106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0"/>
      <c r="AJ40" s="100"/>
      <c r="AK40" s="100"/>
    </row>
    <row r="41" spans="1:37">
      <c r="A41" s="68">
        <v>41</v>
      </c>
      <c r="B41" s="310"/>
      <c r="C41" s="81" t="s">
        <v>74</v>
      </c>
      <c r="D41" s="78">
        <f>(D28-D37)/D28*D14</f>
        <v>4761.9047619047615</v>
      </c>
      <c r="E41" s="93"/>
      <c r="F41" s="92"/>
      <c r="G41" s="78">
        <f>(G28-G37)/G28*G14</f>
        <v>4761.9047619047615</v>
      </c>
      <c r="H41" s="93"/>
      <c r="I41" s="92"/>
      <c r="J41" s="78">
        <f>(J28-J37)/J28*J14</f>
        <v>4761.9047619047615</v>
      </c>
      <c r="K41" s="93"/>
      <c r="L41" s="92"/>
      <c r="M41" s="78">
        <f>(M28-M37)/M28*M14</f>
        <v>4761.9047619047615</v>
      </c>
      <c r="N41" s="93"/>
      <c r="O41" s="92"/>
      <c r="P41" s="78">
        <f>(P28-P37)/P28*P14</f>
        <v>4761.9047619047615</v>
      </c>
      <c r="Q41" s="93"/>
      <c r="R41" s="92"/>
      <c r="S41" s="78">
        <f>(S28-S37)/S28*S14</f>
        <v>4761.9047619047615</v>
      </c>
      <c r="T41" s="93"/>
      <c r="U41" s="92"/>
      <c r="V41" s="78">
        <f>(V28-V37)/V28*V14</f>
        <v>4761.9047619047615</v>
      </c>
      <c r="W41" s="93"/>
      <c r="X41" s="92"/>
      <c r="Y41" s="142">
        <f>V41</f>
        <v>4761.9047619047615</v>
      </c>
      <c r="Z41" s="142">
        <f>Y41</f>
        <v>4761.9047619047615</v>
      </c>
      <c r="AA41" s="142">
        <f t="shared" ref="AA41:AK41" si="11">Z41</f>
        <v>4761.9047619047615</v>
      </c>
      <c r="AB41" s="142">
        <f t="shared" si="11"/>
        <v>4761.9047619047615</v>
      </c>
      <c r="AC41" s="142">
        <f t="shared" si="11"/>
        <v>4761.9047619047615</v>
      </c>
      <c r="AD41" s="142">
        <f t="shared" si="11"/>
        <v>4761.9047619047615</v>
      </c>
      <c r="AE41" s="142">
        <f t="shared" si="11"/>
        <v>4761.9047619047615</v>
      </c>
      <c r="AF41" s="142">
        <f t="shared" si="11"/>
        <v>4761.9047619047615</v>
      </c>
      <c r="AG41" s="142">
        <f t="shared" si="11"/>
        <v>4761.9047619047615</v>
      </c>
      <c r="AH41" s="142">
        <f t="shared" si="11"/>
        <v>4761.9047619047615</v>
      </c>
      <c r="AI41" s="142">
        <f t="shared" si="11"/>
        <v>4761.9047619047615</v>
      </c>
      <c r="AJ41" s="142">
        <f t="shared" si="11"/>
        <v>4761.9047619047615</v>
      </c>
      <c r="AK41" s="142">
        <f t="shared" si="11"/>
        <v>4761.9047619047615</v>
      </c>
    </row>
    <row r="42" spans="1:37">
      <c r="A42" s="68">
        <v>42</v>
      </c>
      <c r="B42" s="310"/>
      <c r="C42" s="81" t="s">
        <v>99</v>
      </c>
      <c r="D42" s="78">
        <f>(D29-D38)/D29*D15</f>
        <v>27631.522754584417</v>
      </c>
      <c r="E42" s="93"/>
      <c r="F42" s="92"/>
      <c r="G42" s="78">
        <f>(G29-G38)/G29*G15</f>
        <v>27743.941591771945</v>
      </c>
      <c r="H42" s="93"/>
      <c r="I42" s="92"/>
      <c r="J42" s="78">
        <f>(J29-J38)/J29*J15</f>
        <v>27653.488472934903</v>
      </c>
      <c r="K42" s="93"/>
      <c r="L42" s="92"/>
      <c r="M42" s="78">
        <f>(M29-M38)/M29*M15</f>
        <v>27740.159005751</v>
      </c>
      <c r="N42" s="93"/>
      <c r="O42" s="92"/>
      <c r="P42" s="78">
        <f>(P29-P38)/P29*P15</f>
        <v>27800.334276122256</v>
      </c>
      <c r="Q42" s="93"/>
      <c r="R42" s="92"/>
      <c r="S42" s="78">
        <f>(S29-S38)/S29*S15</f>
        <v>27819.918461357058</v>
      </c>
      <c r="T42" s="93"/>
      <c r="U42" s="92"/>
      <c r="V42" s="78">
        <f>(V29-V38)/V29*V15</f>
        <v>27730.199808862715</v>
      </c>
      <c r="W42" s="93"/>
      <c r="X42" s="92"/>
      <c r="Y42" s="142">
        <f>V42</f>
        <v>27730.199808862715</v>
      </c>
      <c r="Z42" s="142">
        <f>Y42</f>
        <v>27730.199808862715</v>
      </c>
      <c r="AA42" s="142">
        <f t="shared" ref="AA42:AK42" si="12">Z42</f>
        <v>27730.199808862715</v>
      </c>
      <c r="AB42" s="142">
        <f t="shared" si="12"/>
        <v>27730.199808862715</v>
      </c>
      <c r="AC42" s="142">
        <f t="shared" si="12"/>
        <v>27730.199808862715</v>
      </c>
      <c r="AD42" s="142">
        <f t="shared" si="12"/>
        <v>27730.199808862715</v>
      </c>
      <c r="AE42" s="142">
        <f t="shared" si="12"/>
        <v>27730.199808862715</v>
      </c>
      <c r="AF42" s="142">
        <f t="shared" si="12"/>
        <v>27730.199808862715</v>
      </c>
      <c r="AG42" s="142">
        <f t="shared" si="12"/>
        <v>27730.199808862715</v>
      </c>
      <c r="AH42" s="142">
        <f t="shared" si="12"/>
        <v>27730.199808862715</v>
      </c>
      <c r="AI42" s="142">
        <f t="shared" si="12"/>
        <v>27730.199808862715</v>
      </c>
      <c r="AJ42" s="142">
        <f t="shared" si="12"/>
        <v>27730.199808862715</v>
      </c>
      <c r="AK42" s="142">
        <f t="shared" si="12"/>
        <v>27730.199808862715</v>
      </c>
    </row>
    <row r="43" spans="1:37">
      <c r="A43" s="68">
        <v>43</v>
      </c>
      <c r="B43" s="310"/>
      <c r="C43" s="81" t="s">
        <v>75</v>
      </c>
      <c r="D43" s="75">
        <f>(D30-D39)/D30*D16</f>
        <v>7142.8571428571431</v>
      </c>
      <c r="E43" s="93"/>
      <c r="F43" s="92"/>
      <c r="G43" s="75">
        <f>(G30-G39)/G30*G16</f>
        <v>7142.8571428571431</v>
      </c>
      <c r="H43" s="93"/>
      <c r="I43" s="92"/>
      <c r="J43" s="75">
        <f>(J30-J39)/J30*J16</f>
        <v>7142.8571428571431</v>
      </c>
      <c r="K43" s="93"/>
      <c r="L43" s="92"/>
      <c r="M43" s="75">
        <f>(M30-M39)/M30*M16</f>
        <v>7142.8571428571431</v>
      </c>
      <c r="N43" s="93"/>
      <c r="O43" s="92"/>
      <c r="P43" s="75">
        <f>(P30-P39)/P30*P16</f>
        <v>7142.8571428571431</v>
      </c>
      <c r="Q43" s="93"/>
      <c r="R43" s="92"/>
      <c r="S43" s="75">
        <f>(S30-S39)/S30*S16</f>
        <v>7142.8571428571431</v>
      </c>
      <c r="T43" s="93"/>
      <c r="U43" s="92"/>
      <c r="V43" s="75">
        <f>(V30-V39)/V30*V16</f>
        <v>7142.8571428571431</v>
      </c>
      <c r="W43" s="93"/>
      <c r="X43" s="92"/>
      <c r="Y43" s="142">
        <f>V43</f>
        <v>7142.8571428571431</v>
      </c>
      <c r="Z43" s="142">
        <f>Y43</f>
        <v>7142.8571428571431</v>
      </c>
      <c r="AA43" s="142">
        <f t="shared" ref="AA43:AK43" si="13">Z43</f>
        <v>7142.8571428571431</v>
      </c>
      <c r="AB43" s="142">
        <f t="shared" si="13"/>
        <v>7142.8571428571431</v>
      </c>
      <c r="AC43" s="142">
        <f t="shared" si="13"/>
        <v>7142.8571428571431</v>
      </c>
      <c r="AD43" s="142">
        <f t="shared" si="13"/>
        <v>7142.8571428571431</v>
      </c>
      <c r="AE43" s="142">
        <f t="shared" si="13"/>
        <v>7142.8571428571431</v>
      </c>
      <c r="AF43" s="142">
        <f t="shared" si="13"/>
        <v>7142.8571428571431</v>
      </c>
      <c r="AG43" s="142">
        <f t="shared" si="13"/>
        <v>7142.8571428571431</v>
      </c>
      <c r="AH43" s="142">
        <f t="shared" si="13"/>
        <v>7142.8571428571431</v>
      </c>
      <c r="AI43" s="142">
        <f t="shared" si="13"/>
        <v>7142.8571428571431</v>
      </c>
      <c r="AJ43" s="142">
        <f t="shared" si="13"/>
        <v>7142.8571428571431</v>
      </c>
      <c r="AK43" s="142">
        <f t="shared" si="13"/>
        <v>7142.8571428571431</v>
      </c>
    </row>
    <row r="44" spans="1:37">
      <c r="A44" s="68">
        <v>44</v>
      </c>
      <c r="B44" s="310"/>
      <c r="C44" s="74" t="s">
        <v>94</v>
      </c>
      <c r="D44" s="122">
        <f>SUM(D37:D39)</f>
        <v>9561.448462999133</v>
      </c>
      <c r="E44" s="99" t="str">
        <f>IF((D41*D9+D42*D10+D43*D11+D44*D12)=SUM(E5:E7),"OK","ERROR")</f>
        <v>OK</v>
      </c>
      <c r="F44" s="92"/>
      <c r="G44" s="76">
        <f>SUM(G37:G39)</f>
        <v>9471.5133932491117</v>
      </c>
      <c r="H44" s="99" t="str">
        <f>IF((G41*G9+G42*G10+G43*G11+G44*G12)=SUM(H5:H7),"OK","ERROR")</f>
        <v>OK</v>
      </c>
      <c r="I44" s="92"/>
      <c r="J44" s="76">
        <f>SUM(J37:J39)</f>
        <v>9543.8758883187438</v>
      </c>
      <c r="K44" s="99" t="str">
        <f>IF((J41*J9+J42*J10+J43*J11+J44*J12)=SUM(K5:K7),"OK","ERROR")</f>
        <v>OK</v>
      </c>
      <c r="L44" s="92"/>
      <c r="M44" s="76">
        <f>SUM(M37:M39)</f>
        <v>9474.5394620658662</v>
      </c>
      <c r="N44" s="99" t="str">
        <f>IF((M41*M9+M42*M10+M43*M11+M44*M12)=SUM(N5:N7),"OK","ERROR")</f>
        <v>OK</v>
      </c>
      <c r="O44" s="92"/>
      <c r="P44" s="76">
        <f>SUM(P37:P39)</f>
        <v>9426.3992457688619</v>
      </c>
      <c r="Q44" s="99" t="str">
        <f>IF((P41*P9+P42*P10+P43*P11+P44*P12)=SUM(Q5:Q7),"OK","ERROR")</f>
        <v>OK</v>
      </c>
      <c r="R44" s="92"/>
      <c r="S44" s="76">
        <f>SUM(S37:S39)</f>
        <v>9410.7318975810176</v>
      </c>
      <c r="T44" s="99" t="str">
        <f>IF((S41*S9+S42*S10+S43*S11+S44*S12)=SUM(T5:T7),"OK","ERROR")</f>
        <v>OK</v>
      </c>
      <c r="U44" s="92"/>
      <c r="V44" s="76">
        <f>SUM(V37:V39)</f>
        <v>9482.5068195764979</v>
      </c>
      <c r="W44" s="99" t="str">
        <f>IF((V41*V9+V42*V10+V43*V11+V44*V12)=SUM(W5:W7),"OK","ERROR")</f>
        <v>OK</v>
      </c>
      <c r="X44" s="92"/>
      <c r="Y44" s="142">
        <f>V44</f>
        <v>9482.5068195764979</v>
      </c>
      <c r="Z44" s="142">
        <f>Y44</f>
        <v>9482.5068195764979</v>
      </c>
      <c r="AA44" s="142">
        <f t="shared" ref="AA44:AK44" si="14">Z44</f>
        <v>9482.5068195764979</v>
      </c>
      <c r="AB44" s="142">
        <f t="shared" si="14"/>
        <v>9482.5068195764979</v>
      </c>
      <c r="AC44" s="142">
        <f t="shared" si="14"/>
        <v>9482.5068195764979</v>
      </c>
      <c r="AD44" s="142">
        <f t="shared" si="14"/>
        <v>9482.5068195764979</v>
      </c>
      <c r="AE44" s="142">
        <f t="shared" si="14"/>
        <v>9482.5068195764979</v>
      </c>
      <c r="AF44" s="142">
        <f t="shared" si="14"/>
        <v>9482.5068195764979</v>
      </c>
      <c r="AG44" s="142">
        <f t="shared" si="14"/>
        <v>9482.5068195764979</v>
      </c>
      <c r="AH44" s="142">
        <f t="shared" si="14"/>
        <v>9482.5068195764979</v>
      </c>
      <c r="AI44" s="142">
        <f t="shared" si="14"/>
        <v>9482.5068195764979</v>
      </c>
      <c r="AJ44" s="142">
        <f t="shared" si="14"/>
        <v>9482.5068195764979</v>
      </c>
      <c r="AK44" s="142">
        <f t="shared" si="14"/>
        <v>9482.5068195764979</v>
      </c>
    </row>
    <row r="45" spans="1:37">
      <c r="A45" s="68">
        <v>45</v>
      </c>
      <c r="B45" s="310"/>
      <c r="C45" s="114" t="s">
        <v>114</v>
      </c>
      <c r="D45" s="104"/>
      <c r="E45" s="108"/>
      <c r="F45" s="106"/>
      <c r="G45" s="104"/>
      <c r="H45" s="108"/>
      <c r="I45" s="106"/>
      <c r="J45" s="104"/>
      <c r="K45" s="108"/>
      <c r="L45" s="106"/>
      <c r="M45" s="104"/>
      <c r="N45" s="108"/>
      <c r="O45" s="106"/>
      <c r="P45" s="104"/>
      <c r="Q45" s="108"/>
      <c r="R45" s="106"/>
      <c r="S45" s="104"/>
      <c r="T45" s="108"/>
      <c r="U45" s="106"/>
      <c r="V45" s="104"/>
      <c r="W45" s="108"/>
      <c r="X45" s="106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</row>
    <row r="46" spans="1:37">
      <c r="A46" s="68">
        <v>46</v>
      </c>
      <c r="B46" s="310"/>
      <c r="C46" s="81" t="s">
        <v>74</v>
      </c>
      <c r="D46" s="86">
        <f>D41*$E19/1000</f>
        <v>125132.37523809525</v>
      </c>
      <c r="E46" s="93"/>
      <c r="F46" s="92"/>
      <c r="G46" s="86">
        <f>G41*$E19/1000</f>
        <v>125132.37523809525</v>
      </c>
      <c r="H46" s="93"/>
      <c r="I46" s="92"/>
      <c r="J46" s="86">
        <f>J41*$E19/1000</f>
        <v>125132.37523809525</v>
      </c>
      <c r="K46" s="93"/>
      <c r="L46" s="92"/>
      <c r="M46" s="86">
        <f>M41*$E19/1000</f>
        <v>125132.37523809525</v>
      </c>
      <c r="N46" s="93"/>
      <c r="O46" s="92"/>
      <c r="P46" s="86">
        <f>P41*$E19/1000</f>
        <v>125132.37523809525</v>
      </c>
      <c r="Q46" s="93"/>
      <c r="R46" s="92"/>
      <c r="S46" s="86">
        <f>S41*$E19/1000</f>
        <v>125132.37523809525</v>
      </c>
      <c r="T46" s="93"/>
      <c r="U46" s="92"/>
      <c r="V46" s="86">
        <f>V41*$E19/1000</f>
        <v>125132.37523809525</v>
      </c>
      <c r="W46" s="93"/>
      <c r="X46" s="92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</row>
    <row r="47" spans="1:37">
      <c r="A47" s="68">
        <v>47</v>
      </c>
      <c r="B47" s="310"/>
      <c r="C47" s="81" t="s">
        <v>99</v>
      </c>
      <c r="D47" s="86">
        <f>D42*$E20/1000</f>
        <v>594078.21448575635</v>
      </c>
      <c r="E47" s="93"/>
      <c r="F47" s="92"/>
      <c r="G47" s="86">
        <f>G42*$E20/1000</f>
        <v>596495.22141889227</v>
      </c>
      <c r="H47" s="93"/>
      <c r="I47" s="92"/>
      <c r="J47" s="86">
        <f>J42*$E20/1000</f>
        <v>594550.47780810227</v>
      </c>
      <c r="K47" s="93"/>
      <c r="L47" s="92"/>
      <c r="M47" s="86">
        <f>M42*$E20/1000</f>
        <v>596413.89575438143</v>
      </c>
      <c r="N47" s="93"/>
      <c r="O47" s="92"/>
      <c r="P47" s="86">
        <f>P42*$E20/1000</f>
        <v>597707.66510237812</v>
      </c>
      <c r="Q47" s="93"/>
      <c r="R47" s="92"/>
      <c r="S47" s="86">
        <f>S42*$E20/1000</f>
        <v>598128.72542177443</v>
      </c>
      <c r="T47" s="93"/>
      <c r="U47" s="92"/>
      <c r="V47" s="86">
        <f>V42*$E20/1000</f>
        <v>596199.77284998517</v>
      </c>
      <c r="W47" s="93"/>
      <c r="X47" s="92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</row>
    <row r="48" spans="1:37">
      <c r="A48" s="68">
        <v>48</v>
      </c>
      <c r="B48" s="310"/>
      <c r="C48" s="81" t="s">
        <v>75</v>
      </c>
      <c r="D48" s="86">
        <f>D43*$E21/1000</f>
        <v>200396.98571428572</v>
      </c>
      <c r="E48" s="93"/>
      <c r="F48" s="92"/>
      <c r="G48" s="86">
        <f>G43*$E21/1000</f>
        <v>200396.98571428572</v>
      </c>
      <c r="H48" s="93"/>
      <c r="I48" s="92"/>
      <c r="J48" s="86">
        <f>J43*$E21/1000</f>
        <v>200396.98571428572</v>
      </c>
      <c r="K48" s="93"/>
      <c r="L48" s="92"/>
      <c r="M48" s="86">
        <f>M43*$E21/1000</f>
        <v>200396.98571428572</v>
      </c>
      <c r="N48" s="93"/>
      <c r="O48" s="92"/>
      <c r="P48" s="86">
        <f>P43*$E21/1000</f>
        <v>200396.98571428572</v>
      </c>
      <c r="Q48" s="93"/>
      <c r="R48" s="92"/>
      <c r="S48" s="86">
        <f>S43*$E21/1000</f>
        <v>200396.98571428572</v>
      </c>
      <c r="T48" s="93"/>
      <c r="U48" s="92"/>
      <c r="V48" s="86">
        <f>V43*$E21/1000</f>
        <v>200396.98571428572</v>
      </c>
      <c r="W48" s="93"/>
      <c r="X48" s="92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100"/>
      <c r="AJ48" s="100"/>
      <c r="AK48" s="100"/>
    </row>
    <row r="49" spans="1:37">
      <c r="A49" s="68">
        <v>49</v>
      </c>
      <c r="B49" s="310"/>
      <c r="C49" s="74" t="s">
        <v>94</v>
      </c>
      <c r="D49" s="87">
        <f>D44*$E18/1000</f>
        <v>148999.35774779401</v>
      </c>
      <c r="E49" s="93"/>
      <c r="F49" s="92"/>
      <c r="G49" s="87">
        <f>G44*$E18/1000</f>
        <v>147597.8684563323</v>
      </c>
      <c r="H49" s="93"/>
      <c r="I49" s="92"/>
      <c r="J49" s="87">
        <f>J44*$E18/1000</f>
        <v>148725.51823995315</v>
      </c>
      <c r="K49" s="93"/>
      <c r="L49" s="92"/>
      <c r="M49" s="87">
        <f>M44*$E18/1000</f>
        <v>147645.02473311839</v>
      </c>
      <c r="N49" s="93"/>
      <c r="O49" s="92"/>
      <c r="P49" s="87">
        <f>P44*$E18/1000</f>
        <v>146894.83909567539</v>
      </c>
      <c r="Q49" s="93"/>
      <c r="R49" s="92"/>
      <c r="S49" s="87">
        <f>S44*$E18/1000</f>
        <v>146650.68939109519</v>
      </c>
      <c r="T49" s="93"/>
      <c r="U49" s="92"/>
      <c r="V49" s="87">
        <f>V44*$E18/1000</f>
        <v>147769.18282031879</v>
      </c>
      <c r="W49" s="93"/>
      <c r="X49" s="92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J49" s="100"/>
      <c r="AK49" s="100"/>
    </row>
    <row r="50" spans="1:37" s="88" customFormat="1" ht="16.5" thickBot="1">
      <c r="A50" s="139">
        <v>50</v>
      </c>
      <c r="B50" s="310"/>
      <c r="C50" s="109" t="s">
        <v>108</v>
      </c>
      <c r="D50" s="115">
        <f>SUM(D46:D49)</f>
        <v>1068606.9331859313</v>
      </c>
      <c r="E50" s="111"/>
      <c r="F50" s="112"/>
      <c r="G50" s="115">
        <f>SUM(G46:G49)</f>
        <v>1069622.4508276056</v>
      </c>
      <c r="H50" s="111"/>
      <c r="I50" s="112"/>
      <c r="J50" s="115">
        <f>SUM(J46:J49)</f>
        <v>1068805.3570004364</v>
      </c>
      <c r="K50" s="111"/>
      <c r="L50" s="112"/>
      <c r="M50" s="115">
        <f>SUM(M46:M49)</f>
        <v>1069588.2814398808</v>
      </c>
      <c r="N50" s="111"/>
      <c r="O50" s="112"/>
      <c r="P50" s="115">
        <f>SUM(P46:P49)</f>
        <v>1070131.8651504344</v>
      </c>
      <c r="Q50" s="111"/>
      <c r="R50" s="112"/>
      <c r="S50" s="115">
        <f>SUM(S46:S49)</f>
        <v>1070308.7757652507</v>
      </c>
      <c r="T50" s="111"/>
      <c r="U50" s="112"/>
      <c r="V50" s="115">
        <f>SUM(V46:V49)</f>
        <v>1069498.3166226849</v>
      </c>
      <c r="W50" s="111"/>
      <c r="X50" s="112"/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</row>
    <row r="51" spans="1:37" ht="17.25" thickTop="1" thickBot="1">
      <c r="A51" s="68">
        <v>51</v>
      </c>
      <c r="B51" s="310" t="s">
        <v>184</v>
      </c>
      <c r="C51" s="116" t="s">
        <v>109</v>
      </c>
      <c r="D51" s="223">
        <f>D26-D50</f>
        <v>179062.7157426402</v>
      </c>
      <c r="E51" s="108"/>
      <c r="F51" s="106"/>
      <c r="G51" s="223">
        <f>G26-G50</f>
        <v>178047.19810096594</v>
      </c>
      <c r="H51" s="108"/>
      <c r="I51" s="106"/>
      <c r="J51" s="223">
        <f>J26-J50</f>
        <v>178864.29192813509</v>
      </c>
      <c r="K51" s="108"/>
      <c r="L51" s="106"/>
      <c r="M51" s="223">
        <f>M26-M50</f>
        <v>178081.36748869065</v>
      </c>
      <c r="N51" s="108"/>
      <c r="O51" s="106"/>
      <c r="P51" s="223">
        <f>P26-P50</f>
        <v>177537.78377813706</v>
      </c>
      <c r="Q51" s="108"/>
      <c r="R51" s="106"/>
      <c r="S51" s="223">
        <f>S26-S50</f>
        <v>177360.87316332082</v>
      </c>
      <c r="T51" s="108"/>
      <c r="U51" s="106"/>
      <c r="V51" s="223">
        <f>V26-V50</f>
        <v>178171.33230588655</v>
      </c>
      <c r="W51" s="108"/>
      <c r="X51" s="106"/>
      <c r="Y51" s="133">
        <f>V51</f>
        <v>178171.33230588655</v>
      </c>
      <c r="Z51" s="133">
        <f>Y51</f>
        <v>178171.33230588655</v>
      </c>
      <c r="AA51" s="133">
        <f t="shared" ref="AA51:AK51" si="15">Z51</f>
        <v>178171.33230588655</v>
      </c>
      <c r="AB51" s="133">
        <f t="shared" si="15"/>
        <v>178171.33230588655</v>
      </c>
      <c r="AC51" s="133">
        <f t="shared" si="15"/>
        <v>178171.33230588655</v>
      </c>
      <c r="AD51" s="133">
        <f t="shared" si="15"/>
        <v>178171.33230588655</v>
      </c>
      <c r="AE51" s="133">
        <f t="shared" si="15"/>
        <v>178171.33230588655</v>
      </c>
      <c r="AF51" s="133">
        <f t="shared" si="15"/>
        <v>178171.33230588655</v>
      </c>
      <c r="AG51" s="133">
        <f t="shared" si="15"/>
        <v>178171.33230588655</v>
      </c>
      <c r="AH51" s="133">
        <f t="shared" si="15"/>
        <v>178171.33230588655</v>
      </c>
      <c r="AI51" s="133">
        <f t="shared" si="15"/>
        <v>178171.33230588655</v>
      </c>
      <c r="AJ51" s="133">
        <f t="shared" si="15"/>
        <v>178171.33230588655</v>
      </c>
      <c r="AK51" s="133">
        <f t="shared" si="15"/>
        <v>178171.33230588655</v>
      </c>
    </row>
    <row r="52" spans="1:37" ht="16.5" thickTop="1">
      <c r="A52" s="68">
        <v>53</v>
      </c>
      <c r="B52" s="310"/>
      <c r="C52" s="218" t="s">
        <v>122</v>
      </c>
      <c r="D52" s="118">
        <f>D51*'Input data saved costs'!B6/1000000</f>
        <v>2.558038796323431</v>
      </c>
      <c r="E52" s="108"/>
      <c r="F52" s="106"/>
      <c r="G52" s="118">
        <f>G51*'Input data saved costs'!C6/1000000</f>
        <v>3.0145557350428094</v>
      </c>
      <c r="H52" s="108"/>
      <c r="I52" s="106"/>
      <c r="J52" s="118">
        <f>J51*'Input data saved costs'!D6/1000000</f>
        <v>3.5015760853656075</v>
      </c>
      <c r="K52" s="108"/>
      <c r="L52" s="106"/>
      <c r="M52" s="118">
        <f>M51*'Input data saved costs'!E6/1000000</f>
        <v>3.957363721970903</v>
      </c>
      <c r="N52" s="108"/>
      <c r="O52" s="106"/>
      <c r="P52" s="118">
        <f>P51*'Input data saved costs'!F6/1000000</f>
        <v>4.0767935534238884</v>
      </c>
      <c r="Q52" s="108"/>
      <c r="R52" s="106"/>
      <c r="S52" s="118">
        <f>S51*'Input data saved costs'!G6/1000000</f>
        <v>4.20410958609353</v>
      </c>
      <c r="T52" s="108"/>
      <c r="U52" s="106"/>
      <c r="V52" s="118">
        <f>V51*'Input data saved costs'!H6/1000000</f>
        <v>4.3552992341438932</v>
      </c>
      <c r="W52" s="108"/>
      <c r="X52" s="106"/>
      <c r="Y52" s="145">
        <f>Y51*'Input data saved costs'!I6/1000000</f>
        <v>4.4872779988149203</v>
      </c>
      <c r="Z52" s="145">
        <f>Z51*'Input data saved costs'!J6/1000000</f>
        <v>4.6192567634859474</v>
      </c>
      <c r="AA52" s="145">
        <f>AA51*'Input data saved costs'!K6/1000000</f>
        <v>4.7512355281569745</v>
      </c>
      <c r="AB52" s="145">
        <f>AB51*'Input data saved costs'!L6/1000000</f>
        <v>4.8832142928280007</v>
      </c>
      <c r="AC52" s="145">
        <f>AC51*'Input data saved costs'!M6/1000000</f>
        <v>5.0151930574990287</v>
      </c>
      <c r="AD52" s="145">
        <f>AD51*'Input data saved costs'!N6/1000000</f>
        <v>5.1471718221700558</v>
      </c>
      <c r="AE52" s="145">
        <f>AE51*'Input data saved costs'!O6/1000000</f>
        <v>5.279150586841082</v>
      </c>
      <c r="AF52" s="145">
        <f>AF51*'Input data saved costs'!P6/1000000</f>
        <v>5.4111293515121091</v>
      </c>
      <c r="AG52" s="145">
        <f>AG51*'Input data saved costs'!Q6/1000000</f>
        <v>5.5431081161831361</v>
      </c>
      <c r="AH52" s="145">
        <f>AH51*'Input data saved costs'!R6/1000000</f>
        <v>5.6750868808541641</v>
      </c>
      <c r="AI52" s="145">
        <f>AI51*'Input data saved costs'!S6/1000000</f>
        <v>5.8070656455251903</v>
      </c>
      <c r="AJ52" s="145">
        <f>AJ51*'Input data saved costs'!T6/1000000</f>
        <v>5.9390444101962174</v>
      </c>
      <c r="AK52" s="145">
        <f>AK51*'Input data saved costs'!U6/1000000</f>
        <v>5.9390444101962174</v>
      </c>
    </row>
    <row r="53" spans="1:37" s="134" customFormat="1">
      <c r="A53" s="207">
        <v>54</v>
      </c>
      <c r="B53" s="310"/>
      <c r="C53" s="222" t="s">
        <v>125</v>
      </c>
      <c r="D53" s="208">
        <f>((D14*'Input data saved costs'!B9)+('saved costs C'!D15*'Input data saved costs'!B8)+('saved costs C'!D16*'Input data saved costs'!B9))/1000000</f>
        <v>1821.2610992789325</v>
      </c>
      <c r="E53" s="209"/>
      <c r="F53" s="210"/>
      <c r="G53" s="211">
        <f>((G14*'Input data saved costs'!C9)+('saved costs C'!G15*'Input data saved costs'!C8)+('saved costs C'!G16*'Input data saved costs'!C9))/1000000</f>
        <v>1832.2110159430883</v>
      </c>
      <c r="H53" s="209"/>
      <c r="I53" s="210"/>
      <c r="J53" s="211">
        <f>((J14*'Input data saved costs'!D9)+('saved costs C'!J15*'Input data saved costs'!D8)+('saved costs C'!J16*'Input data saved costs'!D9))/1000000</f>
        <v>1843.1609326072437</v>
      </c>
      <c r="K53" s="209"/>
      <c r="L53" s="210"/>
      <c r="M53" s="211">
        <f>((M14*'Input data saved costs'!E9)+('saved costs C'!M15*'Input data saved costs'!E8)+('saved costs C'!M16*'Input data saved costs'!E9))/1000000</f>
        <v>1854.110849271399</v>
      </c>
      <c r="N53" s="209"/>
      <c r="O53" s="210"/>
      <c r="P53" s="211">
        <f>((P14*'Input data saved costs'!F9)+('saved costs C'!P15*'Input data saved costs'!F8)+('saved costs C'!P16*'Input data saved costs'!F9))/1000000</f>
        <v>1861.0520330553068</v>
      </c>
      <c r="Q53" s="209"/>
      <c r="R53" s="210"/>
      <c r="S53" s="212">
        <f>((S14*'Input data saved costs'!G9)+('saved costs C'!S15*'Input data saved costs'!G8)+('saved costs C'!S16*'Input data saved costs'!G9))/1000000</f>
        <v>1867.9932168392138</v>
      </c>
      <c r="T53" s="209"/>
      <c r="U53" s="210"/>
      <c r="V53" s="213">
        <f>((V14*'Input data saved costs'!H9)+('saved costs C'!V15*'Input data saved costs'!H8)+('saved costs C'!V16*'Input data saved costs'!H9))/1000000</f>
        <v>1874.9344006231215</v>
      </c>
      <c r="W53" s="209"/>
      <c r="X53" s="210"/>
      <c r="Y53" s="214">
        <f>((Y14*'Input data saved costs'!I9)+('saved costs C'!Y15*'Input data saved costs'!I8)+('saved costs C'!Y16*'Input data saved costs'!I9))/1000000</f>
        <v>1881.875584407029</v>
      </c>
      <c r="Z53" s="214">
        <f>((Z14*'Input data saved costs'!J9)+('saved costs C'!Z15*'Input data saved costs'!J8)+('saved costs C'!Z16*'Input data saved costs'!J9))/1000000</f>
        <v>1888.8167681909363</v>
      </c>
      <c r="AA53" s="214">
        <f>((AA14*'Input data saved costs'!K9)+('saved costs C'!AA15*'Input data saved costs'!K8)+('saved costs C'!AA16*'Input data saved costs'!K9))/1000000</f>
        <v>1893.8516338920554</v>
      </c>
      <c r="AB53" s="214">
        <f>((AB14*'Input data saved costs'!L9)+('saved costs C'!AB15*'Input data saved costs'!L8)+('saved costs C'!AB16*'Input data saved costs'!L9))/1000000</f>
        <v>1898.8864995931738</v>
      </c>
      <c r="AC53" s="214">
        <f>((AC14*'Input data saved costs'!M9)+('saved costs C'!AC15*'Input data saved costs'!M8)+('saved costs C'!AC16*'Input data saved costs'!M9))/1000000</f>
        <v>1903.9213652942924</v>
      </c>
      <c r="AD53" s="214">
        <f>((AD14*'Input data saved costs'!N9)+('saved costs C'!AD15*'Input data saved costs'!N8)+('saved costs C'!AD16*'Input data saved costs'!N9))/1000000</f>
        <v>1908.9562309954115</v>
      </c>
      <c r="AE53" s="214">
        <f>((AE14*'Input data saved costs'!O9)+('saved costs C'!AE15*'Input data saved costs'!O8)+('saved costs C'!AE16*'Input data saved costs'!O9))/1000000</f>
        <v>1913.9910966965303</v>
      </c>
      <c r="AF53" s="214">
        <f>((AF14*'Input data saved costs'!P9)+('saved costs C'!AF15*'Input data saved costs'!P8)+('saved costs C'!AF16*'Input data saved costs'!P9))/1000000</f>
        <v>1918.2089689335967</v>
      </c>
      <c r="AG53" s="214">
        <f>((AG14*'Input data saved costs'!Q9)+('saved costs C'!AG15*'Input data saved costs'!Q8)+('saved costs C'!AG16*'Input data saved costs'!Q9))/1000000</f>
        <v>1922.426841170663</v>
      </c>
      <c r="AH53" s="214">
        <f>((AH14*'Input data saved costs'!R9)+('saved costs C'!AH15*'Input data saved costs'!R8)+('saved costs C'!AH16*'Input data saved costs'!R9))/1000000</f>
        <v>1926.6447134077298</v>
      </c>
      <c r="AI53" s="214">
        <f>((AI14*'Input data saved costs'!S9)+('saved costs C'!AI15*'Input data saved costs'!S8)+('saved costs C'!AI16*'Input data saved costs'!S9))/1000000</f>
        <v>1930.8625856447961</v>
      </c>
      <c r="AJ53" s="214">
        <f>((AJ14*'Input data saved costs'!T9)+('saved costs C'!AJ15*'Input data saved costs'!T8)+('saved costs C'!AJ16*'Input data saved costs'!T9))/1000000</f>
        <v>1935.0804578818627</v>
      </c>
      <c r="AK53" s="214">
        <f>((AK14*'Input data saved costs'!U9)+('saved costs C'!AK15*'Input data saved costs'!U8)+('saved costs C'!AK16*'Input data saved costs'!U9))/1000000</f>
        <v>1935.0804578818627</v>
      </c>
    </row>
    <row r="54" spans="1:37" s="134" customFormat="1">
      <c r="A54" s="143">
        <v>57</v>
      </c>
      <c r="B54" s="310"/>
      <c r="C54" s="219" t="s">
        <v>124</v>
      </c>
      <c r="D54" s="144">
        <f>((D41*'Input data saved costs'!B9)+('saved costs C'!D42*'Input data saved costs'!B8)+('saved costs C'!D43*'Input data saved costs'!B9)+('saved costs C'!D44*'Input data saved costs'!B7))/1000000</f>
        <v>1807.8591758497857</v>
      </c>
      <c r="E54" s="144"/>
      <c r="F54" s="144"/>
      <c r="G54" s="144">
        <f>((G41*'Input data saved costs'!C9)+('saved costs C'!G42*'Input data saved costs'!B8)+('saved costs C'!G43*'Input data saved costs'!B9)+('saved costs C'!G44*'Input data saved costs'!B7))/1000000</f>
        <v>1811.3792059022012</v>
      </c>
      <c r="H54" s="144"/>
      <c r="I54" s="144"/>
      <c r="J54" s="144">
        <f>((J41*'Input data saved costs'!D9)+('saved costs C'!J42*'Input data saved costs'!D8)+('saved costs C'!J43*'Input data saved costs'!D9)+('saved costs C'!J44*'Input data saved costs'!D7))/1000000</f>
        <v>1831.7549954405026</v>
      </c>
      <c r="K54" s="144"/>
      <c r="L54" s="144"/>
      <c r="M54" s="144">
        <f>((M41*'Input data saved costs'!E9)+('saved costs C'!M42*'Input data saved costs'!E8)+('saved costs C'!M43*'Input data saved costs'!E9)+('saved costs C'!M44*'Input data saved costs'!E7))/1000000</f>
        <v>1845.8873479004221</v>
      </c>
      <c r="N54" s="144"/>
      <c r="O54" s="144"/>
      <c r="P54" s="144">
        <f>((P41*'Input data saved costs'!F9)+('saved costs C'!P42*'Input data saved costs'!F8)+('saved costs C'!P43*'Input data saved costs'!F9)+('saved costs C'!P44*'Input data saved costs'!F7))/1000000</f>
        <v>1855.5670040216744</v>
      </c>
      <c r="Q54" s="144"/>
      <c r="R54" s="144"/>
      <c r="S54" s="144">
        <f>((S41*'Input data saved costs'!G9)+('saved costs C'!S42*'Input data saved costs'!G8)+('saved costs C'!S43*'Input data saved costs'!G9)+('saved costs C'!S44*'Input data saved costs'!G7))/1000000</f>
        <v>1864.0788225344836</v>
      </c>
      <c r="T54" s="144"/>
      <c r="U54" s="144"/>
      <c r="V54" s="144">
        <f>((V41*'Input data saved costs'!H9)+('saved costs C'!V42*'Input data saved costs'!H8)+('saved costs C'!V43*'Input data saved costs'!H9)+('saved costs C'!V44*'Input data saved costs'!H7))/1000000</f>
        <v>1869.4272307088586</v>
      </c>
      <c r="W54" s="144"/>
      <c r="X54" s="144"/>
      <c r="Y54" s="144">
        <f>((Y41*'Input data saved costs'!I9)+('saved costs C'!Y42*'Input data saved costs'!I8)+('saved costs C'!Y43*'Input data saved costs'!I9)+('saved costs C'!Y44*'Input data saved costs'!I7))/1000000</f>
        <v>1877.369521438839</v>
      </c>
      <c r="Z54" s="144">
        <f>((Z41*'Input data saved costs'!J9)+('saved costs C'!Z42*'Input data saved costs'!J8)+('saved costs C'!Z43*'Input data saved costs'!J9)+('saved costs C'!Z44*'Input data saved costs'!J7))/1000000</f>
        <v>1885.3118121688196</v>
      </c>
      <c r="AA54" s="144">
        <f>((AA41*'Input data saved costs'!K9)+('saved costs C'!AA42*'Input data saved costs'!K8)+('saved costs C'!AA43*'Input data saved costs'!K9)+('saved costs C'!AA44*'Input data saved costs'!K7))/1000000</f>
        <v>1891.083155489338</v>
      </c>
      <c r="AB54" s="144">
        <f>((AB41*'Input data saved costs'!L9)+('saved costs C'!AB42*'Input data saved costs'!L8)+('saved costs C'!AB43*'Input data saved costs'!L9)+('saved costs C'!AB44*'Input data saved costs'!L7))/1000000</f>
        <v>1896.8544988098561</v>
      </c>
      <c r="AC54" s="144">
        <f>((AC41*'Input data saved costs'!M9)+('saved costs C'!AC42*'Input data saved costs'!M8)+('saved costs C'!AC43*'Input data saved costs'!M9)+('saved costs C'!AC44*'Input data saved costs'!M7))/1000000</f>
        <v>1902.6258421303742</v>
      </c>
      <c r="AD54" s="144">
        <f>((AD41*'Input data saved costs'!N9)+('saved costs C'!AD42*'Input data saved costs'!N8)+('saved costs C'!AD43*'Input data saved costs'!N9)+('saved costs C'!AD44*'Input data saved costs'!N7))/1000000</f>
        <v>1908.3971854508925</v>
      </c>
      <c r="AE54" s="144">
        <f>((AE41*'Input data saved costs'!O9)+('saved costs C'!AE42*'Input data saved costs'!O8)+('saved costs C'!AE43*'Input data saved costs'!O9)+('saved costs C'!AE44*'Input data saved costs'!O7))/1000000</f>
        <v>1914.1685287714106</v>
      </c>
      <c r="AF54" s="144">
        <f>((AF41*'Input data saved costs'!P9)+('saved costs C'!AF42*'Input data saved costs'!P8)+('saved costs C'!AF43*'Input data saved costs'!P9)+('saved costs C'!AF44*'Input data saved costs'!P7))/1000000</f>
        <v>1919.2148995479065</v>
      </c>
      <c r="AG54" s="144">
        <f>((AG41*'Input data saved costs'!Q9)+('saved costs C'!AG42*'Input data saved costs'!Q8)+('saved costs C'!AG43*'Input data saved costs'!Q9)+('saved costs C'!AG44*'Input data saved costs'!Q7))/1000000</f>
        <v>1924.2612703244022</v>
      </c>
      <c r="AH54" s="144">
        <f>((AH41*'Input data saved costs'!R9)+('saved costs C'!AH42*'Input data saved costs'!R8)+('saved costs C'!AH43*'Input data saved costs'!R9)+('saved costs C'!AH44*'Input data saved costs'!R7))/1000000</f>
        <v>1929.3076411008979</v>
      </c>
      <c r="AI54" s="144">
        <f>((AI41*'Input data saved costs'!S9)+('saved costs C'!AI42*'Input data saved costs'!S8)+('saved costs C'!AI43*'Input data saved costs'!S9)+('saved costs C'!AI44*'Input data saved costs'!S7))/1000000</f>
        <v>1934.3540118773935</v>
      </c>
      <c r="AJ54" s="144">
        <f>((AJ41*'Input data saved costs'!T9)+('saved costs C'!AJ42*'Input data saved costs'!T8)+('saved costs C'!AJ43*'Input data saved costs'!T9)+('saved costs C'!AJ44*'Input data saved costs'!T7))/1000000</f>
        <v>1939.4003826538892</v>
      </c>
      <c r="AK54" s="144">
        <f>((AK41*'Input data saved costs'!U9)+('saved costs C'!AK42*'Input data saved costs'!U8)+('saved costs C'!AK43*'Input data saved costs'!U9)+('saved costs C'!AK44*'Input data saved costs'!U7))/1000000</f>
        <v>1939.4003826538892</v>
      </c>
    </row>
    <row r="55" spans="1:37" s="88" customFormat="1">
      <c r="A55" s="139">
        <v>58</v>
      </c>
      <c r="B55" s="310"/>
      <c r="C55" s="220" t="s">
        <v>123</v>
      </c>
      <c r="D55" s="215">
        <f>D53-D54</f>
        <v>13.401923429146791</v>
      </c>
      <c r="E55" s="215"/>
      <c r="F55" s="215"/>
      <c r="G55" s="215">
        <f>G53-G54</f>
        <v>20.831810040887149</v>
      </c>
      <c r="H55" s="215"/>
      <c r="I55" s="215"/>
      <c r="J55" s="215">
        <f>J53-J54</f>
        <v>11.405937166741069</v>
      </c>
      <c r="K55" s="136"/>
      <c r="L55" s="136"/>
      <c r="M55" s="215">
        <f>M53-M54</f>
        <v>8.2235013709769191</v>
      </c>
      <c r="N55" s="136"/>
      <c r="O55" s="136"/>
      <c r="P55" s="215">
        <f>P53-P54</f>
        <v>5.4850290336323724</v>
      </c>
      <c r="Q55" s="136"/>
      <c r="R55" s="136"/>
      <c r="S55" s="215">
        <f>S53-S54</f>
        <v>3.9143943047301946</v>
      </c>
      <c r="T55" s="136"/>
      <c r="U55" s="136"/>
      <c r="V55" s="215">
        <f>V53-V54</f>
        <v>5.5071699142629313</v>
      </c>
      <c r="W55" s="136"/>
      <c r="X55" s="136"/>
      <c r="Y55" s="215">
        <f>Y53-Y54</f>
        <v>4.5060629681900082</v>
      </c>
      <c r="Z55" s="215">
        <f t="shared" ref="Z55:AK55" si="16">Z53-Z54</f>
        <v>3.5049560221166303</v>
      </c>
      <c r="AA55" s="215">
        <f t="shared" si="16"/>
        <v>2.7684784027173919</v>
      </c>
      <c r="AB55" s="215">
        <f t="shared" si="16"/>
        <v>2.0320007833176987</v>
      </c>
      <c r="AC55" s="215">
        <f t="shared" si="16"/>
        <v>1.295523163918233</v>
      </c>
      <c r="AD55" s="215">
        <f t="shared" si="16"/>
        <v>0.55904554451899457</v>
      </c>
      <c r="AE55" s="215">
        <f t="shared" si="16"/>
        <v>-0.17743207488024382</v>
      </c>
      <c r="AF55" s="215">
        <f t="shared" si="16"/>
        <v>-1.0059306143098183</v>
      </c>
      <c r="AG55" s="215">
        <f t="shared" si="16"/>
        <v>-1.8344291537391655</v>
      </c>
      <c r="AH55" s="215">
        <f t="shared" si="16"/>
        <v>-2.6629276931680579</v>
      </c>
      <c r="AI55" s="215">
        <f t="shared" si="16"/>
        <v>-3.491426232597405</v>
      </c>
      <c r="AJ55" s="215">
        <f t="shared" si="16"/>
        <v>-4.3199247720265248</v>
      </c>
      <c r="AK55" s="215">
        <f t="shared" si="16"/>
        <v>-4.3199247720265248</v>
      </c>
    </row>
    <row r="56" spans="1:37" s="88" customFormat="1">
      <c r="A56" s="136"/>
      <c r="B56" s="136"/>
      <c r="C56" s="136" t="s">
        <v>127</v>
      </c>
      <c r="D56" s="192">
        <f>D31*'Input data saved costs'!B10/1000000</f>
        <v>14.533401663758681</v>
      </c>
      <c r="E56" s="192"/>
      <c r="F56" s="192"/>
      <c r="G56" s="192">
        <f>G31*'Input data saved costs'!E10/1000000</f>
        <v>14.39670035773865</v>
      </c>
      <c r="H56" s="192"/>
      <c r="I56" s="192"/>
      <c r="J56" s="192">
        <f>J31*'Input data saved costs'!H10/1000000</f>
        <v>14.506691350244491</v>
      </c>
      <c r="K56" s="192"/>
      <c r="L56" s="192"/>
      <c r="M56" s="192">
        <f>M31*'Input data saved costs'!K10/1000000</f>
        <v>14.401299982340117</v>
      </c>
      <c r="N56" s="192"/>
      <c r="O56" s="192"/>
      <c r="P56" s="192">
        <f>P31*'Input data saved costs'!N10/1000000</f>
        <v>14.328126853568669</v>
      </c>
      <c r="Q56" s="192"/>
      <c r="R56" s="192"/>
      <c r="S56" s="192">
        <f>S31*'Input data saved costs'!Q10/1000000</f>
        <v>14.304312484323148</v>
      </c>
      <c r="T56" s="192"/>
      <c r="U56" s="192"/>
      <c r="V56" s="192">
        <f>V31*'Input data saved costs'!T10/1000000</f>
        <v>14.413410365756278</v>
      </c>
      <c r="W56" s="192"/>
      <c r="X56" s="192"/>
      <c r="Y56" s="192">
        <f>Y31*'Input data saved costs'!I10/1000000</f>
        <v>14.413410365756278</v>
      </c>
      <c r="Z56" s="192">
        <f>Z31*'Input data saved costs'!J10/1000000</f>
        <v>14.413410365756278</v>
      </c>
      <c r="AA56" s="192">
        <f>AA31*'Input data saved costs'!K10/1000000</f>
        <v>14.413410365756278</v>
      </c>
      <c r="AB56" s="192">
        <f>AB31*'Input data saved costs'!L10/1000000</f>
        <v>14.413410365756278</v>
      </c>
      <c r="AC56" s="192">
        <f>AC31*'Input data saved costs'!M10/1000000</f>
        <v>14.413410365756278</v>
      </c>
      <c r="AD56" s="192">
        <f>AD31*'Input data saved costs'!N10/1000000</f>
        <v>14.413410365756278</v>
      </c>
      <c r="AE56" s="192">
        <f>AE31*'Input data saved costs'!O10/1000000</f>
        <v>14.413410365756278</v>
      </c>
      <c r="AF56" s="192">
        <f>AF31*'Input data saved costs'!P10/1000000</f>
        <v>14.413410365756278</v>
      </c>
      <c r="AG56" s="192">
        <f>AG31*'Input data saved costs'!Q10/1000000</f>
        <v>14.413410365756278</v>
      </c>
      <c r="AH56" s="192">
        <f>AH31*'Input data saved costs'!R10/1000000</f>
        <v>14.413410365756278</v>
      </c>
      <c r="AI56" s="192">
        <f>AI31*'Input data saved costs'!S10/1000000</f>
        <v>14.413410365756278</v>
      </c>
      <c r="AJ56" s="192">
        <f>AJ31*'Input data saved costs'!T10/1000000</f>
        <v>14.413410365756278</v>
      </c>
      <c r="AK56" s="192">
        <f>AK31*'Input data saved costs'!U10/1000000</f>
        <v>14.413410365756278</v>
      </c>
    </row>
    <row r="57" spans="1:37" s="88" customFormat="1">
      <c r="A57" s="136"/>
      <c r="B57" s="136"/>
      <c r="C57" s="136" t="s">
        <v>130</v>
      </c>
      <c r="D57" s="192">
        <f>D52+D55+D56</f>
        <v>30.493363889228903</v>
      </c>
      <c r="E57" s="136"/>
      <c r="F57" s="136"/>
      <c r="G57" s="192">
        <f>G52+G55+G56</f>
        <v>38.243066133668606</v>
      </c>
      <c r="H57" s="136"/>
      <c r="I57" s="136"/>
      <c r="J57" s="192">
        <f>J52+J55+J56</f>
        <v>29.41420460235117</v>
      </c>
      <c r="K57" s="136"/>
      <c r="L57" s="136"/>
      <c r="M57" s="192">
        <f>M52+M55+M56</f>
        <v>26.582165075287939</v>
      </c>
      <c r="N57" s="136"/>
      <c r="O57" s="136"/>
      <c r="P57" s="192">
        <f>P52+P55+P56</f>
        <v>23.889949440624932</v>
      </c>
      <c r="Q57" s="136"/>
      <c r="R57" s="136"/>
      <c r="S57" s="192">
        <f>S52+S55+S56</f>
        <v>22.422816375146873</v>
      </c>
      <c r="T57" s="136"/>
      <c r="U57" s="136"/>
      <c r="V57" s="192">
        <f>V52+V55+V56</f>
        <v>24.275879514163101</v>
      </c>
      <c r="W57" s="136"/>
      <c r="X57" s="136"/>
      <c r="Y57" s="192">
        <f t="shared" ref="Y57:AK57" si="17">Y52+Y55+Y56</f>
        <v>23.406751332761207</v>
      </c>
      <c r="Z57" s="192">
        <f t="shared" si="17"/>
        <v>22.537623151358854</v>
      </c>
      <c r="AA57" s="192">
        <f t="shared" si="17"/>
        <v>21.933124296630645</v>
      </c>
      <c r="AB57" s="192">
        <f t="shared" si="17"/>
        <v>21.328625441901977</v>
      </c>
      <c r="AC57" s="192">
        <f t="shared" si="17"/>
        <v>20.72412658717354</v>
      </c>
      <c r="AD57" s="192">
        <f t="shared" si="17"/>
        <v>20.119627732445327</v>
      </c>
      <c r="AE57" s="192">
        <f t="shared" si="17"/>
        <v>19.515128877717117</v>
      </c>
      <c r="AF57" s="192">
        <f t="shared" si="17"/>
        <v>18.818609102958568</v>
      </c>
      <c r="AG57" s="192">
        <f t="shared" si="17"/>
        <v>18.122089328200246</v>
      </c>
      <c r="AH57" s="192">
        <f t="shared" si="17"/>
        <v>17.425569553442383</v>
      </c>
      <c r="AI57" s="192">
        <f t="shared" si="17"/>
        <v>16.729049778684065</v>
      </c>
      <c r="AJ57" s="192">
        <f t="shared" si="17"/>
        <v>16.03253000392597</v>
      </c>
      <c r="AK57" s="192">
        <f t="shared" si="17"/>
        <v>16.03253000392597</v>
      </c>
    </row>
  </sheetData>
  <mergeCells count="12">
    <mergeCell ref="B51:B55"/>
    <mergeCell ref="V2:X2"/>
    <mergeCell ref="B3:B7"/>
    <mergeCell ref="B8:B26"/>
    <mergeCell ref="B27:B39"/>
    <mergeCell ref="B40:B50"/>
    <mergeCell ref="P2:R2"/>
    <mergeCell ref="S2:U2"/>
    <mergeCell ref="D2:F2"/>
    <mergeCell ref="G2:I2"/>
    <mergeCell ref="J2:L2"/>
    <mergeCell ref="M2:O2"/>
  </mergeCells>
  <conditionalFormatting sqref="E44">
    <cfRule type="cellIs" dxfId="13" priority="13" operator="equal">
      <formula>"ERROR"</formula>
    </cfRule>
    <cfRule type="cellIs" dxfId="12" priority="14" operator="equal">
      <formula>"OK"</formula>
    </cfRule>
  </conditionalFormatting>
  <conditionalFormatting sqref="H44">
    <cfRule type="cellIs" dxfId="11" priority="11" operator="equal">
      <formula>"ERROR"</formula>
    </cfRule>
    <cfRule type="cellIs" dxfId="10" priority="12" operator="equal">
      <formula>"OK"</formula>
    </cfRule>
  </conditionalFormatting>
  <conditionalFormatting sqref="K44">
    <cfRule type="cellIs" dxfId="9" priority="9" operator="equal">
      <formula>"ERROR"</formula>
    </cfRule>
    <cfRule type="cellIs" dxfId="8" priority="10" operator="equal">
      <formula>"OK"</formula>
    </cfRule>
  </conditionalFormatting>
  <conditionalFormatting sqref="N44">
    <cfRule type="cellIs" dxfId="7" priority="7" operator="equal">
      <formula>"ERROR"</formula>
    </cfRule>
    <cfRule type="cellIs" dxfId="6" priority="8" operator="equal">
      <formula>"OK"</formula>
    </cfRule>
  </conditionalFormatting>
  <conditionalFormatting sqref="Q44">
    <cfRule type="cellIs" dxfId="5" priority="5" operator="equal">
      <formula>"ERROR"</formula>
    </cfRule>
    <cfRule type="cellIs" dxfId="4" priority="6" operator="equal">
      <formula>"OK"</formula>
    </cfRule>
  </conditionalFormatting>
  <conditionalFormatting sqref="T44">
    <cfRule type="cellIs" dxfId="3" priority="3" operator="equal">
      <formula>"ERROR"</formula>
    </cfRule>
    <cfRule type="cellIs" dxfId="2" priority="4" operator="equal">
      <formula>"OK"</formula>
    </cfRule>
  </conditionalFormatting>
  <conditionalFormatting sqref="W44">
    <cfRule type="cellIs" dxfId="1" priority="1" operator="equal">
      <formula>"ERROR"</formula>
    </cfRule>
    <cfRule type="cellIs" dxfId="0" priority="2" operator="equal">
      <formula>"OK"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3:Z33"/>
  <sheetViews>
    <sheetView workbookViewId="0">
      <selection activeCell="C24" sqref="C24"/>
    </sheetView>
  </sheetViews>
  <sheetFormatPr baseColWidth="10" defaultColWidth="9.140625" defaultRowHeight="15"/>
  <cols>
    <col min="1" max="1" width="52.28515625" style="148" bestFit="1" customWidth="1"/>
    <col min="2" max="2" width="11.5703125" style="148" bestFit="1" customWidth="1"/>
    <col min="3" max="4" width="8" style="148" bestFit="1" customWidth="1"/>
    <col min="5" max="5" width="9.5703125" style="148" bestFit="1" customWidth="1"/>
    <col min="6" max="6" width="8" style="148" bestFit="1" customWidth="1"/>
    <col min="7" max="26" width="10.140625" style="148" bestFit="1" customWidth="1"/>
    <col min="27" max="16384" width="9.140625" style="148"/>
  </cols>
  <sheetData>
    <row r="3" spans="1:26">
      <c r="A3" s="147" t="s">
        <v>78</v>
      </c>
    </row>
    <row r="5" spans="1:26">
      <c r="A5" s="149" t="s">
        <v>15</v>
      </c>
      <c r="B5" s="5"/>
      <c r="C5" s="5">
        <v>2013</v>
      </c>
      <c r="D5" s="5">
        <v>2014</v>
      </c>
      <c r="E5" s="5">
        <v>2015</v>
      </c>
      <c r="F5" s="5">
        <v>2016</v>
      </c>
      <c r="G5" s="5">
        <v>2017</v>
      </c>
      <c r="H5" s="5">
        <v>2018</v>
      </c>
      <c r="I5" s="5">
        <v>2019</v>
      </c>
      <c r="J5" s="5">
        <v>2020</v>
      </c>
      <c r="K5" s="5">
        <v>2021</v>
      </c>
      <c r="L5" s="5">
        <v>2022</v>
      </c>
      <c r="M5" s="5">
        <v>2023</v>
      </c>
      <c r="N5" s="5">
        <v>2024</v>
      </c>
      <c r="O5" s="5">
        <v>2025</v>
      </c>
      <c r="P5" s="5">
        <v>2026</v>
      </c>
      <c r="Q5" s="5">
        <v>2027</v>
      </c>
      <c r="R5" s="5">
        <v>2028</v>
      </c>
      <c r="S5" s="5">
        <v>2029</v>
      </c>
      <c r="T5" s="5">
        <v>2030</v>
      </c>
      <c r="U5" s="5">
        <v>2031</v>
      </c>
      <c r="V5" s="5">
        <v>2032</v>
      </c>
      <c r="W5" s="5">
        <v>2033</v>
      </c>
      <c r="X5" s="5">
        <v>2034</v>
      </c>
      <c r="Y5" s="5">
        <v>2035</v>
      </c>
      <c r="Z5" s="5">
        <v>2036</v>
      </c>
    </row>
    <row r="6" spans="1:26">
      <c r="A6" s="149"/>
      <c r="B6" s="5"/>
      <c r="C6" s="5">
        <v>0</v>
      </c>
      <c r="D6" s="5">
        <v>1</v>
      </c>
      <c r="E6" s="5">
        <v>2</v>
      </c>
      <c r="F6" s="5">
        <v>3</v>
      </c>
      <c r="G6" s="5">
        <v>4</v>
      </c>
      <c r="H6" s="5">
        <v>5</v>
      </c>
      <c r="I6" s="5">
        <v>6</v>
      </c>
      <c r="J6" s="5">
        <v>7</v>
      </c>
      <c r="K6" s="5">
        <v>8</v>
      </c>
      <c r="L6" s="5">
        <v>9</v>
      </c>
      <c r="M6" s="5">
        <v>10</v>
      </c>
      <c r="N6" s="5">
        <v>11</v>
      </c>
      <c r="O6" s="5">
        <v>12</v>
      </c>
      <c r="P6" s="5">
        <v>13</v>
      </c>
      <c r="Q6" s="5">
        <v>14</v>
      </c>
      <c r="R6" s="5">
        <v>15</v>
      </c>
      <c r="S6" s="5">
        <v>16</v>
      </c>
      <c r="T6" s="5">
        <v>17</v>
      </c>
      <c r="U6" s="5">
        <v>18</v>
      </c>
      <c r="V6" s="5">
        <v>19</v>
      </c>
      <c r="W6" s="5">
        <v>20</v>
      </c>
      <c r="X6" s="5">
        <v>21</v>
      </c>
      <c r="Y6" s="5">
        <v>22</v>
      </c>
      <c r="Z6" s="5">
        <v>23</v>
      </c>
    </row>
    <row r="7" spans="1:26">
      <c r="A7" s="149"/>
      <c r="B7" s="15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>
      <c r="A8" s="5" t="s">
        <v>60</v>
      </c>
      <c r="B8" s="5" t="s">
        <v>61</v>
      </c>
      <c r="C8" s="4">
        <f>'input ec analysis'!C6</f>
        <v>150</v>
      </c>
      <c r="D8" s="4">
        <f>'input ec analysis'!D6</f>
        <v>150</v>
      </c>
      <c r="E8" s="4">
        <f>'input ec analysis'!E6</f>
        <v>150</v>
      </c>
      <c r="F8" s="4">
        <f>'input ec analysis'!F6</f>
        <v>150</v>
      </c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>
      <c r="A9" s="5" t="s">
        <v>65</v>
      </c>
      <c r="B9" s="5" t="s">
        <v>61</v>
      </c>
      <c r="C9" s="5"/>
      <c r="D9" s="5"/>
      <c r="E9" s="5"/>
      <c r="F9" s="5"/>
      <c r="G9" s="4">
        <f>SUM($C$8:$F$8)*3%</f>
        <v>18</v>
      </c>
      <c r="H9" s="4">
        <f t="shared" ref="H9:Z9" si="0">SUM($C$8:$F$8)*3%</f>
        <v>18</v>
      </c>
      <c r="I9" s="4">
        <f t="shared" si="0"/>
        <v>18</v>
      </c>
      <c r="J9" s="4">
        <f t="shared" si="0"/>
        <v>18</v>
      </c>
      <c r="K9" s="4">
        <f t="shared" si="0"/>
        <v>18</v>
      </c>
      <c r="L9" s="4">
        <f t="shared" si="0"/>
        <v>18</v>
      </c>
      <c r="M9" s="4">
        <f t="shared" si="0"/>
        <v>18</v>
      </c>
      <c r="N9" s="4">
        <f t="shared" si="0"/>
        <v>18</v>
      </c>
      <c r="O9" s="4">
        <f t="shared" si="0"/>
        <v>18</v>
      </c>
      <c r="P9" s="4">
        <f t="shared" si="0"/>
        <v>18</v>
      </c>
      <c r="Q9" s="4">
        <f t="shared" si="0"/>
        <v>18</v>
      </c>
      <c r="R9" s="4">
        <f t="shared" si="0"/>
        <v>18</v>
      </c>
      <c r="S9" s="4">
        <f t="shared" si="0"/>
        <v>18</v>
      </c>
      <c r="T9" s="4">
        <f t="shared" si="0"/>
        <v>18</v>
      </c>
      <c r="U9" s="4">
        <f t="shared" si="0"/>
        <v>18</v>
      </c>
      <c r="V9" s="4">
        <f t="shared" si="0"/>
        <v>18</v>
      </c>
      <c r="W9" s="4">
        <f t="shared" si="0"/>
        <v>18</v>
      </c>
      <c r="X9" s="4">
        <f t="shared" si="0"/>
        <v>18</v>
      </c>
      <c r="Y9" s="4">
        <f t="shared" si="0"/>
        <v>18</v>
      </c>
      <c r="Z9" s="4">
        <f t="shared" si="0"/>
        <v>18</v>
      </c>
    </row>
    <row r="10" spans="1:26">
      <c r="A10" s="5" t="s">
        <v>68</v>
      </c>
      <c r="B10" s="5" t="s">
        <v>61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>
        <f>'[1]Project specific input data'!Q8</f>
        <v>0</v>
      </c>
      <c r="R10" s="5"/>
      <c r="S10" s="5"/>
      <c r="T10" s="5"/>
      <c r="U10" s="5"/>
      <c r="V10" s="5"/>
      <c r="W10" s="5"/>
      <c r="X10" s="5"/>
      <c r="Y10" s="5"/>
      <c r="Z10" s="5"/>
    </row>
    <row r="11" spans="1:26">
      <c r="A11" s="5" t="s">
        <v>69</v>
      </c>
      <c r="B11" s="5" t="s">
        <v>61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>
        <f>-(SUM(C8:F8)-(SUM(C8:F8)/40)*20)</f>
        <v>-300</v>
      </c>
    </row>
    <row r="12" spans="1:26" s="151" customFormat="1">
      <c r="A12" s="163" t="s">
        <v>79</v>
      </c>
      <c r="B12" s="164"/>
      <c r="C12" s="165">
        <f>SUM(C8:C11)</f>
        <v>150</v>
      </c>
      <c r="D12" s="165">
        <f t="shared" ref="D12:Z12" si="1">SUM(D8:D11)</f>
        <v>150</v>
      </c>
      <c r="E12" s="165">
        <f t="shared" si="1"/>
        <v>150</v>
      </c>
      <c r="F12" s="165">
        <f t="shared" si="1"/>
        <v>150</v>
      </c>
      <c r="G12" s="165">
        <f t="shared" si="1"/>
        <v>18</v>
      </c>
      <c r="H12" s="165">
        <f t="shared" si="1"/>
        <v>18</v>
      </c>
      <c r="I12" s="165">
        <f t="shared" si="1"/>
        <v>18</v>
      </c>
      <c r="J12" s="165">
        <f t="shared" si="1"/>
        <v>18</v>
      </c>
      <c r="K12" s="165">
        <f t="shared" si="1"/>
        <v>18</v>
      </c>
      <c r="L12" s="165">
        <f t="shared" si="1"/>
        <v>18</v>
      </c>
      <c r="M12" s="165">
        <f t="shared" si="1"/>
        <v>18</v>
      </c>
      <c r="N12" s="165">
        <f t="shared" si="1"/>
        <v>18</v>
      </c>
      <c r="O12" s="165">
        <f t="shared" si="1"/>
        <v>18</v>
      </c>
      <c r="P12" s="165">
        <f t="shared" si="1"/>
        <v>18</v>
      </c>
      <c r="Q12" s="165">
        <f t="shared" si="1"/>
        <v>18</v>
      </c>
      <c r="R12" s="165">
        <f t="shared" si="1"/>
        <v>18</v>
      </c>
      <c r="S12" s="165">
        <f t="shared" si="1"/>
        <v>18</v>
      </c>
      <c r="T12" s="165">
        <f t="shared" si="1"/>
        <v>18</v>
      </c>
      <c r="U12" s="165">
        <f t="shared" si="1"/>
        <v>18</v>
      </c>
      <c r="V12" s="165">
        <f t="shared" si="1"/>
        <v>18</v>
      </c>
      <c r="W12" s="165">
        <f t="shared" si="1"/>
        <v>18</v>
      </c>
      <c r="X12" s="165">
        <f t="shared" si="1"/>
        <v>18</v>
      </c>
      <c r="Y12" s="165">
        <f t="shared" si="1"/>
        <v>18</v>
      </c>
      <c r="Z12" s="149">
        <f t="shared" si="1"/>
        <v>-282</v>
      </c>
    </row>
    <row r="13" spans="1:26">
      <c r="A13" s="156" t="s">
        <v>80</v>
      </c>
      <c r="B13" s="5"/>
      <c r="C13" s="166"/>
      <c r="D13" s="5"/>
      <c r="E13" s="5"/>
      <c r="F13" s="5"/>
      <c r="G13" s="166">
        <f>'saved costs B'!C57</f>
        <v>133.5558968227412</v>
      </c>
      <c r="H13" s="166">
        <f>'saved costs B'!F57</f>
        <v>135.00505567398679</v>
      </c>
      <c r="I13" s="166">
        <f>'saved costs B'!I57</f>
        <v>139.10051905270871</v>
      </c>
      <c r="J13" s="166">
        <f>'saved costs B'!L57</f>
        <v>137.78453919466963</v>
      </c>
      <c r="K13" s="166">
        <f>'saved costs B'!O57</f>
        <v>137.33994419712803</v>
      </c>
      <c r="L13" s="166">
        <f>'saved costs B'!R57</f>
        <v>136.18844345162952</v>
      </c>
      <c r="M13" s="166">
        <f>'saved costs B'!U57</f>
        <v>139.60038893557044</v>
      </c>
      <c r="N13" s="166">
        <f>'saved costs B'!X57</f>
        <v>139.11891260415925</v>
      </c>
      <c r="O13" s="166">
        <f>'saved costs B'!Y57</f>
        <v>138.63743627274738</v>
      </c>
      <c r="P13" s="166">
        <f>'saved costs B'!Z57</f>
        <v>138.28636470079704</v>
      </c>
      <c r="Q13" s="166">
        <f>'saved costs B'!AA57</f>
        <v>137.93529312884712</v>
      </c>
      <c r="R13" s="166">
        <f>'saved costs B'!AB57</f>
        <v>137.58422155689675</v>
      </c>
      <c r="S13" s="166">
        <f>'saved costs B'!AC57</f>
        <v>137.23314998494661</v>
      </c>
      <c r="T13" s="166">
        <f>'saved costs B'!AD57</f>
        <v>136.88207841299649</v>
      </c>
      <c r="U13" s="166">
        <f>'saved costs B'!AE57</f>
        <v>136.3540211023215</v>
      </c>
      <c r="V13" s="166">
        <f>'saved costs B'!AF57</f>
        <v>135.82596379164605</v>
      </c>
      <c r="W13" s="166">
        <f>'saved costs B'!AG57</f>
        <v>135.29790648097128</v>
      </c>
      <c r="X13" s="166">
        <f>'saved costs B'!AH57</f>
        <v>134.76984917029583</v>
      </c>
      <c r="Y13" s="166">
        <f>'saved costs B'!AI57</f>
        <v>134.24179185962086</v>
      </c>
      <c r="Z13" s="166">
        <f>'saved costs B'!AJ57</f>
        <v>134.24179185962086</v>
      </c>
    </row>
    <row r="14" spans="1:26">
      <c r="A14" s="156" t="s">
        <v>131</v>
      </c>
      <c r="B14" s="5"/>
      <c r="C14" s="5"/>
      <c r="D14" s="5"/>
      <c r="E14" s="5"/>
      <c r="F14" s="5"/>
      <c r="G14" s="166">
        <f>'saved costs C'!D57</f>
        <v>30.493363889228903</v>
      </c>
      <c r="H14" s="166">
        <f>'saved costs C'!G57</f>
        <v>38.243066133668606</v>
      </c>
      <c r="I14" s="166">
        <f>'saved costs C'!J57</f>
        <v>29.41420460235117</v>
      </c>
      <c r="J14" s="166">
        <f>'saved costs C'!M57</f>
        <v>26.582165075287939</v>
      </c>
      <c r="K14" s="166">
        <f>'saved costs C'!P57</f>
        <v>23.889949440624932</v>
      </c>
      <c r="L14" s="166">
        <f>'saved costs C'!S57</f>
        <v>22.422816375146873</v>
      </c>
      <c r="M14" s="166">
        <f>'saved costs C'!V57</f>
        <v>24.275879514163101</v>
      </c>
      <c r="N14" s="166">
        <f>'saved costs C'!Y57</f>
        <v>23.406751332761207</v>
      </c>
      <c r="O14" s="166">
        <f>'saved costs C'!Z57</f>
        <v>22.537623151358854</v>
      </c>
      <c r="P14" s="166">
        <f>'saved costs C'!AA57</f>
        <v>21.933124296630645</v>
      </c>
      <c r="Q14" s="166">
        <f>'saved costs C'!AB57</f>
        <v>21.328625441901977</v>
      </c>
      <c r="R14" s="166">
        <f>'saved costs C'!AC57</f>
        <v>20.72412658717354</v>
      </c>
      <c r="S14" s="166">
        <f>'saved costs C'!AD57</f>
        <v>20.119627732445327</v>
      </c>
      <c r="T14" s="166">
        <f>'saved costs C'!AE57</f>
        <v>19.515128877717117</v>
      </c>
      <c r="U14" s="166">
        <f>'saved costs C'!AF57</f>
        <v>18.818609102958568</v>
      </c>
      <c r="V14" s="166">
        <f>'saved costs C'!AG57</f>
        <v>18.122089328200246</v>
      </c>
      <c r="W14" s="166">
        <f>'saved costs C'!AH57</f>
        <v>17.425569553442383</v>
      </c>
      <c r="X14" s="166">
        <f>'saved costs C'!AI57</f>
        <v>16.729049778684065</v>
      </c>
      <c r="Y14" s="166">
        <f>'saved costs C'!AJ57</f>
        <v>16.03253000392597</v>
      </c>
      <c r="Z14" s="166">
        <f>'saved costs C'!AK57</f>
        <v>16.03253000392597</v>
      </c>
    </row>
    <row r="15" spans="1:26" s="147" customFormat="1">
      <c r="A15" s="155" t="s">
        <v>77</v>
      </c>
      <c r="B15" s="149"/>
      <c r="C15" s="149"/>
      <c r="D15" s="149"/>
      <c r="E15" s="149"/>
      <c r="F15" s="149"/>
      <c r="G15" s="167">
        <f t="shared" ref="G15:Z15" si="2">SUM(G13:G14)</f>
        <v>164.04926071197011</v>
      </c>
      <c r="H15" s="167">
        <f t="shared" si="2"/>
        <v>173.24812180765539</v>
      </c>
      <c r="I15" s="167">
        <f t="shared" si="2"/>
        <v>168.51472365505987</v>
      </c>
      <c r="J15" s="167">
        <f t="shared" si="2"/>
        <v>164.36670426995758</v>
      </c>
      <c r="K15" s="167">
        <f t="shared" si="2"/>
        <v>161.22989363775298</v>
      </c>
      <c r="L15" s="167">
        <f t="shared" si="2"/>
        <v>158.6112598267764</v>
      </c>
      <c r="M15" s="167">
        <f t="shared" si="2"/>
        <v>163.87626844973354</v>
      </c>
      <c r="N15" s="167">
        <f t="shared" si="2"/>
        <v>162.52566393692047</v>
      </c>
      <c r="O15" s="167">
        <f t="shared" si="2"/>
        <v>161.17505942410622</v>
      </c>
      <c r="P15" s="167">
        <f t="shared" si="2"/>
        <v>160.21948899742767</v>
      </c>
      <c r="Q15" s="167">
        <f t="shared" si="2"/>
        <v>159.2639185707491</v>
      </c>
      <c r="R15" s="167">
        <f t="shared" si="2"/>
        <v>158.30834814407029</v>
      </c>
      <c r="S15" s="167">
        <f t="shared" si="2"/>
        <v>157.35277771739194</v>
      </c>
      <c r="T15" s="167">
        <f t="shared" si="2"/>
        <v>156.3972072907136</v>
      </c>
      <c r="U15" s="167">
        <f t="shared" si="2"/>
        <v>155.17263020528006</v>
      </c>
      <c r="V15" s="167">
        <f t="shared" si="2"/>
        <v>153.94805311984629</v>
      </c>
      <c r="W15" s="167">
        <f t="shared" si="2"/>
        <v>152.72347603441366</v>
      </c>
      <c r="X15" s="167">
        <f t="shared" si="2"/>
        <v>151.4988989489799</v>
      </c>
      <c r="Y15" s="167">
        <f t="shared" si="2"/>
        <v>150.27432186354685</v>
      </c>
      <c r="Z15" s="167">
        <f t="shared" si="2"/>
        <v>150.27432186354685</v>
      </c>
    </row>
    <row r="16" spans="1:26" s="153" customFormat="1">
      <c r="A16" s="168" t="s">
        <v>81</v>
      </c>
      <c r="B16" s="168"/>
      <c r="C16" s="169">
        <f>C15-C12</f>
        <v>-150</v>
      </c>
      <c r="D16" s="169">
        <f t="shared" ref="D16:Z16" si="3">D15-D12</f>
        <v>-150</v>
      </c>
      <c r="E16" s="169">
        <f t="shared" si="3"/>
        <v>-150</v>
      </c>
      <c r="F16" s="169">
        <f t="shared" si="3"/>
        <v>-150</v>
      </c>
      <c r="G16" s="169">
        <f t="shared" si="3"/>
        <v>146.04926071197011</v>
      </c>
      <c r="H16" s="169">
        <f t="shared" si="3"/>
        <v>155.24812180765539</v>
      </c>
      <c r="I16" s="169">
        <f t="shared" si="3"/>
        <v>150.51472365505987</v>
      </c>
      <c r="J16" s="169">
        <f t="shared" si="3"/>
        <v>146.36670426995758</v>
      </c>
      <c r="K16" s="169">
        <f t="shared" si="3"/>
        <v>143.22989363775298</v>
      </c>
      <c r="L16" s="169">
        <f t="shared" si="3"/>
        <v>140.6112598267764</v>
      </c>
      <c r="M16" s="169">
        <f t="shared" si="3"/>
        <v>145.87626844973354</v>
      </c>
      <c r="N16" s="169">
        <f t="shared" si="3"/>
        <v>144.52566393692047</v>
      </c>
      <c r="O16" s="169">
        <f t="shared" si="3"/>
        <v>143.17505942410622</v>
      </c>
      <c r="P16" s="169">
        <f t="shared" si="3"/>
        <v>142.21948899742767</v>
      </c>
      <c r="Q16" s="169">
        <f t="shared" si="3"/>
        <v>141.2639185707491</v>
      </c>
      <c r="R16" s="169">
        <f t="shared" si="3"/>
        <v>140.30834814407029</v>
      </c>
      <c r="S16" s="169">
        <f t="shared" si="3"/>
        <v>139.35277771739194</v>
      </c>
      <c r="T16" s="169">
        <f t="shared" si="3"/>
        <v>138.3972072907136</v>
      </c>
      <c r="U16" s="169">
        <f t="shared" si="3"/>
        <v>137.17263020528006</v>
      </c>
      <c r="V16" s="169">
        <f t="shared" si="3"/>
        <v>135.94805311984629</v>
      </c>
      <c r="W16" s="169">
        <f t="shared" si="3"/>
        <v>134.72347603441366</v>
      </c>
      <c r="X16" s="169">
        <f t="shared" si="3"/>
        <v>133.4988989489799</v>
      </c>
      <c r="Y16" s="169">
        <f t="shared" si="3"/>
        <v>132.27432186354685</v>
      </c>
      <c r="Z16" s="169">
        <f t="shared" si="3"/>
        <v>432.27432186354685</v>
      </c>
    </row>
    <row r="17" spans="1:9">
      <c r="A17" s="152" t="s">
        <v>76</v>
      </c>
      <c r="B17" s="154">
        <v>4.4999999999999998E-2</v>
      </c>
    </row>
    <row r="18" spans="1:9">
      <c r="A18" s="155" t="s">
        <v>82</v>
      </c>
      <c r="B18" s="150"/>
    </row>
    <row r="19" spans="1:9">
      <c r="A19" s="156" t="s">
        <v>83</v>
      </c>
      <c r="B19" s="157">
        <f>NPV(B17,C16:Z16)</f>
        <v>1120.7217476659305</v>
      </c>
    </row>
    <row r="20" spans="1:9">
      <c r="A20" s="156" t="s">
        <v>84</v>
      </c>
      <c r="B20" s="158">
        <f>IRR(C16:Z16)</f>
        <v>0.1815582071121512</v>
      </c>
      <c r="E20" s="232"/>
    </row>
    <row r="21" spans="1:9">
      <c r="A21" s="156" t="s">
        <v>85</v>
      </c>
      <c r="B21" s="162">
        <f>B24/B23</f>
        <v>3.3133759904954974</v>
      </c>
      <c r="H21" s="159"/>
      <c r="I21" s="160"/>
    </row>
    <row r="22" spans="1:9">
      <c r="A22" s="5"/>
      <c r="B22" s="5"/>
      <c r="H22" s="317"/>
      <c r="I22" s="161"/>
    </row>
    <row r="23" spans="1:9">
      <c r="A23" s="5" t="s">
        <v>86</v>
      </c>
      <c r="B23" s="157">
        <f>NPV(B17,C12:Z12)</f>
        <v>630.16096065666488</v>
      </c>
      <c r="H23" s="317"/>
      <c r="I23" s="161"/>
    </row>
    <row r="24" spans="1:9">
      <c r="A24" s="5" t="s">
        <v>87</v>
      </c>
      <c r="B24" s="157">
        <f>NPV(B17,B15:Z15)</f>
        <v>2087.9601971873713</v>
      </c>
      <c r="H24" s="317"/>
      <c r="I24" s="160"/>
    </row>
    <row r="25" spans="1:9">
      <c r="H25" s="317"/>
      <c r="I25" s="161"/>
    </row>
    <row r="26" spans="1:9">
      <c r="H26" s="161"/>
      <c r="I26" s="161"/>
    </row>
    <row r="27" spans="1:9">
      <c r="A27" s="238" t="s">
        <v>140</v>
      </c>
    </row>
    <row r="28" spans="1:9">
      <c r="A28" t="s">
        <v>141</v>
      </c>
      <c r="B28" s="148">
        <f>SUM(C8:F8)</f>
        <v>600</v>
      </c>
    </row>
    <row r="29" spans="1:9">
      <c r="A29" t="s">
        <v>143</v>
      </c>
      <c r="B29">
        <v>40</v>
      </c>
    </row>
    <row r="30" spans="1:9">
      <c r="A30" t="s">
        <v>144</v>
      </c>
      <c r="B30" s="148">
        <f>B28/B29</f>
        <v>15</v>
      </c>
    </row>
    <row r="31" spans="1:9">
      <c r="A31" t="s">
        <v>142</v>
      </c>
      <c r="B31" s="148">
        <f>B30*20</f>
        <v>300</v>
      </c>
    </row>
    <row r="32" spans="1:9">
      <c r="A32" t="s">
        <v>145</v>
      </c>
      <c r="B32" s="148">
        <f>B28-B31</f>
        <v>300</v>
      </c>
    </row>
    <row r="33" spans="1:2">
      <c r="A33" t="s">
        <v>146</v>
      </c>
      <c r="B33" s="148">
        <f>B32*(1/(1+B17)^23)</f>
        <v>109.00503895116532</v>
      </c>
    </row>
  </sheetData>
  <mergeCells count="1">
    <mergeCell ref="H22:H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Assumptions</vt:lpstr>
      <vt:lpstr>IP points </vt:lpstr>
      <vt:lpstr>input data quantitative an</vt:lpstr>
      <vt:lpstr>input ec analysis</vt:lpstr>
      <vt:lpstr>Input data saved costs</vt:lpstr>
      <vt:lpstr>saved costs B</vt:lpstr>
      <vt:lpstr>saved costs C</vt:lpstr>
      <vt:lpstr>economic cash flow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rampage</cp:lastModifiedBy>
  <cp:lastPrinted>2013-10-30T12:43:19Z</cp:lastPrinted>
  <dcterms:created xsi:type="dcterms:W3CDTF">2013-01-13T13:15:50Z</dcterms:created>
  <dcterms:modified xsi:type="dcterms:W3CDTF">2013-11-24T08:19:57Z</dcterms:modified>
</cp:coreProperties>
</file>