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ntsogeu-my.sharepoint.com/personal/alexandra_kiss_entsog_eu/Documents/_Backup Personal U drive_/Website/Documents/SCN Doc/"/>
    </mc:Choice>
  </mc:AlternateContent>
  <xr:revisionPtr revIDLastSave="0" documentId="8_{16D2E627-608E-4CD7-93F0-786D63DF6F37}" xr6:coauthVersionLast="47" xr6:coauthVersionMax="47" xr10:uidLastSave="{00000000-0000-0000-0000-000000000000}"/>
  <bookViews>
    <workbookView xWindow="-120" yWindow="-120" windowWidth="29040" windowHeight="15720" activeTab="3" xr2:uid="{EFCF6F00-FD13-4B09-9D2C-C99F196D537D}"/>
  </bookViews>
  <sheets>
    <sheet name="Commodity Prices" sheetId="1" r:id="rId1"/>
    <sheet name="SMR Cost" sheetId="2" r:id="rId2"/>
    <sheet name="SMR Cost_Sources" sheetId="3" r:id="rId3"/>
    <sheet name="Gasblend" sheetId="6" r:id="rId4"/>
    <sheet name="Biomethane" sheetId="7" r:id="rId5"/>
  </sheets>
  <externalReferences>
    <externalReference r:id="rId6"/>
    <externalReference r:id="rId7"/>
    <externalReference r:id="rId8"/>
    <externalReference r:id="rId9"/>
    <externalReference r:id="rId10"/>
    <externalReference r:id="rId11"/>
    <externalReference r:id="rId12"/>
  </externalReferences>
  <definedNames>
    <definedName name="_">#REF!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a">#REF!</definedName>
    <definedName name="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ll_TP">#REF!,#REF!,#REF!</definedName>
    <definedName name="All_US">#REF!,#REF!,#REF!</definedName>
    <definedName name="asdf">#REF!</definedName>
    <definedName name="bb"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iomass_Rate">'[1]Conversion Factors'!#REF!</definedName>
    <definedName name="body0fa">#REF!</definedName>
    <definedName name="body1ea">#REF!</definedName>
    <definedName name="body1eb">#REF!</definedName>
    <definedName name="body1fa">#REF!</definedName>
    <definedName name="body1fb">#REF!</definedName>
    <definedName name="body1ga">#REF!</definedName>
    <definedName name="body1gb">#REF!</definedName>
    <definedName name="body2ea">#REF!</definedName>
    <definedName name="body2eb">#REF!</definedName>
    <definedName name="body2f">#REF!</definedName>
    <definedName name="body2fa">#REF!</definedName>
    <definedName name="body2fb">#REF!</definedName>
    <definedName name="body2ga">#REF!</definedName>
    <definedName name="body2gb">#REF!</definedName>
    <definedName name="body3ea">#REF!</definedName>
    <definedName name="body3eb">#REF!</definedName>
    <definedName name="body3fa">#REF!</definedName>
    <definedName name="body3fb">#REF!</definedName>
    <definedName name="body3ga">#REF!</definedName>
    <definedName name="body3gb">#REF!</definedName>
    <definedName name="body4ea">#REF!</definedName>
    <definedName name="body4eb">#REF!</definedName>
    <definedName name="body4f">#REF!</definedName>
    <definedName name="body4fa">#REF!</definedName>
    <definedName name="body4fb">#REF!</definedName>
    <definedName name="body4ga">#REF!</definedName>
    <definedName name="body4gb">#REF!</definedName>
    <definedName name="Capacity_factor_Solar">'[1]Conversion Factors'!#REF!</definedName>
    <definedName name="Capacity_factor_Wind">'[1]Conversion Factors'!#REF!</definedName>
    <definedName name="Country_Code">LEFT([2]MarketNodeSummary!$C$5,2)</definedName>
    <definedName name="countrye">#REF!</definedName>
    <definedName name="countryf">#REF!</definedName>
    <definedName name="countryg">#REF!</definedName>
    <definedName name="CRF_CountryName">[3]Sheet1!$C$4</definedName>
    <definedName name="Eff_P2CH4">'[1]Conversion Factors'!#REF!</definedName>
    <definedName name="Eff_P2CH4_2040">'[4]Conversion Factors'!$D$8</definedName>
    <definedName name="Eff_P2H2">'[1]Conversion Factors'!#REF!</definedName>
    <definedName name="Eff_P2L">'[1]Conversion Factors'!#REF!</definedName>
    <definedName name="Gas_Emission_Rate">'[1]Conversion Factors'!#REF!</definedName>
    <definedName name="Green_Gas_Emissions_Rate">'[1]Conversion Factors'!#REF!</definedName>
    <definedName name="Hydro_Emissions">'[1]Conversion Factors'!#REF!</definedName>
    <definedName name="kToe_to_TWh">'[1]Conversion Factors'!#REF!</definedName>
    <definedName name="List_Countries">[5]Admin!$D$9:$D$40</definedName>
    <definedName name="List_CountriesISO">[5]Admin!$E$9:$E$40</definedName>
    <definedName name="Nuclear_Emissions_Rate">'[1]Conversion Factors'!#REF!</definedName>
    <definedName name="Oil_Emission_Rate">'[1]Conversion Factors'!#REF!</definedName>
    <definedName name="OtherRes_Emissions_Rate">'[1]Conversion Factors'!#REF!</definedName>
    <definedName name="P2G_Conversion_Rate">'[1]Conversion Factors'!#REF!</definedName>
    <definedName name="RetBE">[6]Macro1!#REF!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olar_Emissions_Rate">'[1]Conversion Factors'!#REF!</definedName>
    <definedName name="Solar_for_P2G">#REF!</definedName>
    <definedName name="Solid_Emission_Rate">'[1]Conversion Factors'!#REF!</definedName>
    <definedName name="TP.Electricity_and_RES">#REF!</definedName>
    <definedName name="TP.Petroleum">#REF!</definedName>
    <definedName name="TP.Solids_and_Gases">#REF!</definedName>
    <definedName name="US.Electricity_and_RES">#REF!</definedName>
    <definedName name="US.Petroleum">#REF!</definedName>
    <definedName name="US.Solids_and_Gases">#REF!</definedName>
    <definedName name="v">#REF!</definedName>
    <definedName name="Wind_Emissions_Rate">'[1]Conversion Factors'!#REF!</definedName>
    <definedName name="Wind_for_P2G">#REF!</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yeare">#REF!</definedName>
    <definedName name="yearf">#REF!</definedName>
    <definedName name="yea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7" l="1"/>
  <c r="P102" i="7"/>
  <c r="R97" i="7"/>
  <c r="Q97" i="7"/>
  <c r="P97" i="7"/>
  <c r="C92" i="7"/>
  <c r="D91" i="7"/>
  <c r="D92" i="7" s="1"/>
  <c r="R87" i="7"/>
  <c r="G129" i="7" s="1"/>
  <c r="R83" i="7"/>
  <c r="R86" i="7" s="1"/>
  <c r="G128" i="7" s="1"/>
  <c r="Q83" i="7"/>
  <c r="Q86" i="7" s="1"/>
  <c r="F128" i="7" s="1"/>
  <c r="P83" i="7"/>
  <c r="P87" i="7" s="1"/>
  <c r="E129" i="7" s="1"/>
  <c r="Q82" i="7"/>
  <c r="Q87" i="7" s="1"/>
  <c r="F129" i="7" s="1"/>
  <c r="Q81" i="7"/>
  <c r="E77" i="7"/>
  <c r="F77" i="7" s="1"/>
  <c r="G77" i="7" s="1"/>
  <c r="D77" i="7"/>
  <c r="D76" i="7"/>
  <c r="E76" i="7" s="1"/>
  <c r="F76" i="7" s="1"/>
  <c r="G76" i="7" s="1"/>
  <c r="D75" i="7"/>
  <c r="E75" i="7" s="1"/>
  <c r="F75" i="7" s="1"/>
  <c r="G75" i="7" s="1"/>
  <c r="D74" i="7"/>
  <c r="E74" i="7" s="1"/>
  <c r="F74" i="7" s="1"/>
  <c r="G74" i="7" s="1"/>
  <c r="D73" i="7"/>
  <c r="E73" i="7" s="1"/>
  <c r="F73" i="7" s="1"/>
  <c r="G73" i="7" s="1"/>
  <c r="K71" i="7"/>
  <c r="I71" i="7"/>
  <c r="H71" i="7"/>
  <c r="G71" i="7"/>
  <c r="J71" i="7" s="1"/>
  <c r="F71" i="7"/>
  <c r="E71" i="7"/>
  <c r="D71" i="7"/>
  <c r="K70" i="7"/>
  <c r="I70" i="7"/>
  <c r="G70" i="7"/>
  <c r="J70" i="7" s="1"/>
  <c r="F70" i="7"/>
  <c r="E70" i="7"/>
  <c r="D70" i="7"/>
  <c r="H70" i="7" s="1"/>
  <c r="E66" i="7"/>
  <c r="F66" i="7" s="1"/>
  <c r="G66" i="7" s="1"/>
  <c r="D66" i="7"/>
  <c r="D65" i="7"/>
  <c r="E65" i="7" s="1"/>
  <c r="P57" i="7"/>
  <c r="P52" i="7"/>
  <c r="V50" i="7" s="1"/>
  <c r="E52" i="7"/>
  <c r="E51" i="7"/>
  <c r="U50" i="7"/>
  <c r="T50" i="7"/>
  <c r="T51" i="7" s="1"/>
  <c r="E50" i="7"/>
  <c r="E49" i="7"/>
  <c r="U48" i="7"/>
  <c r="U49" i="7" s="1"/>
  <c r="U51" i="7" s="1"/>
  <c r="T48" i="7"/>
  <c r="T49" i="7" s="1"/>
  <c r="E48" i="7"/>
  <c r="V47" i="7"/>
  <c r="V53" i="7" s="1"/>
  <c r="U47" i="7"/>
  <c r="U53" i="7" s="1"/>
  <c r="T47" i="7"/>
  <c r="T53" i="7" s="1"/>
  <c r="E47" i="7"/>
  <c r="E46" i="7"/>
  <c r="E45" i="7"/>
  <c r="G51" i="7" s="1"/>
  <c r="C39" i="7"/>
  <c r="E38" i="7"/>
  <c r="F38" i="7" s="1"/>
  <c r="D38" i="7"/>
  <c r="D39" i="7" s="1"/>
  <c r="V33" i="7"/>
  <c r="U33" i="7"/>
  <c r="C33" i="7"/>
  <c r="D33" i="7" s="1"/>
  <c r="E33" i="7" s="1"/>
  <c r="F33" i="7" s="1"/>
  <c r="G33" i="7" s="1"/>
  <c r="V32" i="7"/>
  <c r="U32" i="7"/>
  <c r="T32" i="7"/>
  <c r="T33" i="7" s="1"/>
  <c r="O29" i="7"/>
  <c r="Q26" i="7" s="1"/>
  <c r="V28" i="7"/>
  <c r="U28" i="7"/>
  <c r="T28" i="7"/>
  <c r="P14" i="7"/>
  <c r="I14" i="7"/>
  <c r="H14" i="7"/>
  <c r="G14" i="7"/>
  <c r="K14" i="7" s="1"/>
  <c r="F14" i="7"/>
  <c r="E14" i="7"/>
  <c r="D14" i="7"/>
  <c r="I13" i="7"/>
  <c r="H13" i="7"/>
  <c r="G13" i="7"/>
  <c r="K13" i="7" s="1"/>
  <c r="F13" i="7"/>
  <c r="E13" i="7"/>
  <c r="D13" i="7"/>
  <c r="K12" i="7"/>
  <c r="J12" i="7"/>
  <c r="I12" i="7"/>
  <c r="G12" i="7"/>
  <c r="F12" i="7"/>
  <c r="E12" i="7"/>
  <c r="D12" i="7"/>
  <c r="H12" i="7" s="1"/>
  <c r="K11" i="7"/>
  <c r="J11" i="7"/>
  <c r="I11" i="7"/>
  <c r="G11" i="7"/>
  <c r="F11" i="7"/>
  <c r="E11" i="7"/>
  <c r="D11" i="7"/>
  <c r="H11" i="7" s="1"/>
  <c r="U7" i="7"/>
  <c r="U8" i="7" s="1"/>
  <c r="P7" i="7"/>
  <c r="V9" i="7" s="1"/>
  <c r="K7" i="7"/>
  <c r="J7" i="7"/>
  <c r="I7" i="7"/>
  <c r="H7" i="7"/>
  <c r="P6" i="7"/>
  <c r="T7" i="7" s="1"/>
  <c r="T8" i="7" s="1"/>
  <c r="L33" i="6"/>
  <c r="K33" i="6"/>
  <c r="J33" i="6"/>
  <c r="M20" i="6"/>
  <c r="M19" i="6"/>
  <c r="F19" i="6"/>
  <c r="E19" i="6"/>
  <c r="D19" i="6"/>
  <c r="M18" i="6"/>
  <c r="F18" i="6"/>
  <c r="E18" i="6"/>
  <c r="D18" i="6"/>
  <c r="M17" i="6"/>
  <c r="F17" i="6"/>
  <c r="E17" i="6"/>
  <c r="D17" i="6"/>
  <c r="M9" i="6"/>
  <c r="N9" i="6" s="1"/>
  <c r="Q9" i="6" s="1"/>
  <c r="F6" i="6" s="1"/>
  <c r="L9" i="6"/>
  <c r="M8" i="6"/>
  <c r="N8" i="6" s="1"/>
  <c r="Q8" i="6" s="1"/>
  <c r="E6" i="6" s="1"/>
  <c r="L8" i="6"/>
  <c r="F8" i="6"/>
  <c r="E8" i="6"/>
  <c r="D8" i="6"/>
  <c r="M7" i="6"/>
  <c r="N7" i="6" s="1"/>
  <c r="Q7" i="6" s="1"/>
  <c r="D6" i="6" s="1"/>
  <c r="L7" i="6"/>
  <c r="F7" i="6"/>
  <c r="E7" i="6"/>
  <c r="D7" i="6"/>
  <c r="T55" i="7" l="1"/>
  <c r="T59" i="7" s="1"/>
  <c r="V10" i="7"/>
  <c r="V51" i="7"/>
  <c r="V55" i="7" s="1"/>
  <c r="V59" i="7" s="1"/>
  <c r="T70" i="7" s="1"/>
  <c r="T76" i="7" s="1"/>
  <c r="G125" i="7" s="1"/>
  <c r="F39" i="7"/>
  <c r="G38" i="7"/>
  <c r="G39" i="7" s="1"/>
  <c r="U55" i="7"/>
  <c r="U59" i="7" s="1"/>
  <c r="R70" i="7" s="1"/>
  <c r="T23" i="7"/>
  <c r="T24" i="7" s="1"/>
  <c r="F65" i="7"/>
  <c r="T25" i="7"/>
  <c r="T26" i="7" s="1"/>
  <c r="T30" i="7" s="1"/>
  <c r="T35" i="7" s="1"/>
  <c r="T16" i="7"/>
  <c r="T17" i="7" s="1"/>
  <c r="U16" i="7"/>
  <c r="U17" i="7" s="1"/>
  <c r="V16" i="7"/>
  <c r="E91" i="7"/>
  <c r="P86" i="7"/>
  <c r="E128" i="7" s="1"/>
  <c r="V7" i="7"/>
  <c r="V8" i="7" s="1"/>
  <c r="V48" i="7"/>
  <c r="V49" i="7" s="1"/>
  <c r="U12" i="7"/>
  <c r="J13" i="7"/>
  <c r="J14" i="7"/>
  <c r="T9" i="7"/>
  <c r="T10" i="7" s="1"/>
  <c r="T14" i="7" s="1"/>
  <c r="V12" i="7"/>
  <c r="E39" i="7"/>
  <c r="T12" i="7"/>
  <c r="U9" i="7"/>
  <c r="U10" i="7" s="1"/>
  <c r="E12" i="6"/>
  <c r="E22" i="6" s="1"/>
  <c r="E9" i="6"/>
  <c r="E14" i="6" s="1"/>
  <c r="D9" i="6"/>
  <c r="D12" i="6" s="1"/>
  <c r="E13" i="6"/>
  <c r="F9" i="6"/>
  <c r="F14" i="6" s="1"/>
  <c r="F12" i="6"/>
  <c r="D13" i="6"/>
  <c r="R76" i="7" l="1"/>
  <c r="E125" i="7" s="1"/>
  <c r="S70" i="7"/>
  <c r="S76" i="7" s="1"/>
  <c r="F125" i="7" s="1"/>
  <c r="V17" i="7"/>
  <c r="U14" i="7"/>
  <c r="V14" i="7"/>
  <c r="U19" i="7"/>
  <c r="T19" i="7"/>
  <c r="T38" i="7" s="1"/>
  <c r="R69" i="7" s="1"/>
  <c r="R75" i="7" s="1"/>
  <c r="U23" i="7"/>
  <c r="U24" i="7" s="1"/>
  <c r="U25" i="7"/>
  <c r="U26" i="7" s="1"/>
  <c r="U30" i="7" s="1"/>
  <c r="U35" i="7" s="1"/>
  <c r="U38" i="7" s="1"/>
  <c r="S69" i="7" s="1"/>
  <c r="S75" i="7" s="1"/>
  <c r="G65" i="7"/>
  <c r="E92" i="7"/>
  <c r="F91" i="7"/>
  <c r="D14" i="6"/>
  <c r="D22" i="6" s="1"/>
  <c r="F13" i="6"/>
  <c r="F22" i="6" s="1"/>
  <c r="P98" i="7" l="1"/>
  <c r="P103" i="7" s="1"/>
  <c r="E124" i="7"/>
  <c r="F92" i="7"/>
  <c r="G91" i="7"/>
  <c r="G92" i="7" s="1"/>
  <c r="Q98" i="7"/>
  <c r="Q103" i="7" s="1"/>
  <c r="F124" i="7"/>
  <c r="V19" i="7"/>
  <c r="V25" i="7"/>
  <c r="V26" i="7" s="1"/>
  <c r="V30" i="7" s="1"/>
  <c r="V35" i="7" s="1"/>
  <c r="V38" i="7" s="1"/>
  <c r="T69" i="7" s="1"/>
  <c r="T75" i="7" s="1"/>
  <c r="V23" i="7"/>
  <c r="V24" i="7" s="1"/>
  <c r="R98" i="7" l="1"/>
  <c r="R103" i="7" s="1"/>
  <c r="G124" i="7"/>
  <c r="M12" i="2" l="1"/>
  <c r="H12" i="2"/>
  <c r="C12" i="2"/>
  <c r="M8" i="2"/>
  <c r="L8" i="2"/>
  <c r="H8" i="2"/>
  <c r="G8" i="2"/>
  <c r="C8" i="2"/>
  <c r="B8" i="2"/>
</calcChain>
</file>

<file path=xl/sharedStrings.xml><?xml version="1.0" encoding="utf-8"?>
<sst xmlns="http://schemas.openxmlformats.org/spreadsheetml/2006/main" count="519" uniqueCount="294">
  <si>
    <t>2026 cycle</t>
  </si>
  <si>
    <t>EUR 2024</t>
  </si>
  <si>
    <t>Fuel</t>
  </si>
  <si>
    <t>Unit</t>
  </si>
  <si>
    <t xml:space="preserve">Source </t>
  </si>
  <si>
    <t>Nuclear</t>
  </si>
  <si>
    <t>€/GJ</t>
  </si>
  <si>
    <t>EIA (2023) - https://www.eia.gov/electricity/annual/html/epa_08_04.html</t>
  </si>
  <si>
    <t>Lignite G1 (BG - MK - CZ)</t>
  </si>
  <si>
    <t>Booze&amp;co same as 2022</t>
  </si>
  <si>
    <t>Lignite G2 (SK - DE - RS - PL - ME - UKNI - BA - IE)</t>
  </si>
  <si>
    <t>Lignite G3 (SL - RO - HU)</t>
  </si>
  <si>
    <t>Lignite G4 (GR - TR)</t>
  </si>
  <si>
    <t>Hard coal</t>
  </si>
  <si>
    <t>EC- Recommended parameters for reporting on GHG projections in 2025</t>
  </si>
  <si>
    <t>Natural Gas</t>
  </si>
  <si>
    <t>Crude oil</t>
  </si>
  <si>
    <t>CO2 price</t>
  </si>
  <si>
    <t>€/ton</t>
  </si>
  <si>
    <t>EC- Recommended parameters for reporting on GHG projections in 2025 (WAM)</t>
  </si>
  <si>
    <t>Biomethane</t>
  </si>
  <si>
    <t>€/Gj</t>
  </si>
  <si>
    <t>Calculation based on Danish Technology cataloque</t>
  </si>
  <si>
    <t>Synthetic Methane</t>
  </si>
  <si>
    <t>IEA 2022 (APS) - renewable electricity, 70%, 55% and 50% of biogenic CO2.</t>
  </si>
  <si>
    <t>Light oil</t>
  </si>
  <si>
    <t>Moddeled from crude oil price (+28%)</t>
  </si>
  <si>
    <t>Heavy oil</t>
  </si>
  <si>
    <t>Moddeled from crude oil price (+5%)</t>
  </si>
  <si>
    <t>Oil shale</t>
  </si>
  <si>
    <t>Value from last cycle - no updates from TSOs available</t>
  </si>
  <si>
    <t>Blended gas price</t>
  </si>
  <si>
    <t>Blend of a forecasted mix of methane, biomethane and synthetic methane</t>
  </si>
  <si>
    <t>NT2030</t>
  </si>
  <si>
    <t>NT2040</t>
  </si>
  <si>
    <t>NT2050</t>
  </si>
  <si>
    <t>Input values</t>
  </si>
  <si>
    <t>With CCS</t>
  </si>
  <si>
    <t>Without CCS</t>
  </si>
  <si>
    <t>unit</t>
  </si>
  <si>
    <t>CO2 emission factor</t>
  </si>
  <si>
    <t>kg/net GJ</t>
  </si>
  <si>
    <t>Fuel Cost</t>
  </si>
  <si>
    <t>€/net GJ</t>
  </si>
  <si>
    <t>Standard efficiency</t>
  </si>
  <si>
    <t>%</t>
  </si>
  <si>
    <t>VO&amp;M cost</t>
  </si>
  <si>
    <t>€/MWh</t>
  </si>
  <si>
    <t>Marginal Cost</t>
  </si>
  <si>
    <t>Emission Calculation</t>
  </si>
  <si>
    <t>Parameter</t>
  </si>
  <si>
    <t>Source</t>
  </si>
  <si>
    <t>Note</t>
  </si>
  <si>
    <t>https://entsogeu.sharepoint.com/sites/ExternalCollaboration/WG%20Scenario%20Building/2026%20Scenarios/Sub%20teams/Supply%20team/Commodity%20prices/Commodity%20prices%20proposal%20for%20public%20consultation.pptx?web=1</t>
  </si>
  <si>
    <t>https://entsogeu.sharepoint.com/:p:/r/sites/ExternalCollaboration/_layouts/15/Doc.aspx?sourcedoc=%7B0E278FF4-445B-4B83-A775-1F6484DC6BAA%7D&amp;file=2025-05-13%20WGSB%20-%20supply%20team.pptx&amp;action=edit&amp;mobileredirect=true&amp;previoussessionid=ac1c5522-92b5-e49e-ccdc-1f35b965436c</t>
  </si>
  <si>
    <t>https://www.sciencedirect.com/science/article/pii/S2666790822001574</t>
  </si>
  <si>
    <t>The authors indicate that producing 1 kg of hydrogen requires 3.16 kg of natural gas. Assuming a lower heating value (LHV) of 50 MJ/kg for natural gas and 120 MJ/kg for hydrogen, the energy efficiency is calculated as the ratio of output to input: 120 MJ divided by (3.16 × 50 MJ), resulting in an efficiency of around 76%.</t>
  </si>
  <si>
    <t xml:space="preserve">Gas blend calculation </t>
  </si>
  <si>
    <t>Inputs for shares</t>
  </si>
  <si>
    <t>Total (TWh/year)</t>
  </si>
  <si>
    <t xml:space="preserve">Methane demand </t>
  </si>
  <si>
    <t>Supply</t>
  </si>
  <si>
    <t>Natural gas</t>
  </si>
  <si>
    <t>TWh</t>
  </si>
  <si>
    <t>ETM</t>
  </si>
  <si>
    <t>District heating</t>
  </si>
  <si>
    <t>Generation and SMR (2024)</t>
  </si>
  <si>
    <t>Total</t>
  </si>
  <si>
    <t>e-methane</t>
  </si>
  <si>
    <t>bio methane</t>
  </si>
  <si>
    <t>E-methane</t>
  </si>
  <si>
    <t>ETM data</t>
  </si>
  <si>
    <t>Data collection</t>
  </si>
  <si>
    <t>SCN - 2024</t>
  </si>
  <si>
    <t>Deficit</t>
  </si>
  <si>
    <t>Shares</t>
  </si>
  <si>
    <t>Methane</t>
  </si>
  <si>
    <t>District heating methane demand</t>
  </si>
  <si>
    <t>Gas prices (€/Gj)</t>
  </si>
  <si>
    <t>R and T</t>
  </si>
  <si>
    <t>Industry</t>
  </si>
  <si>
    <t>Agriculture</t>
  </si>
  <si>
    <t>Blended price</t>
  </si>
  <si>
    <t>Price (€/GJ)</t>
  </si>
  <si>
    <t>Methane for electricity production (PLEXOS results)</t>
  </si>
  <si>
    <t>NT+</t>
  </si>
  <si>
    <t>DE</t>
  </si>
  <si>
    <t>GA</t>
  </si>
  <si>
    <t>Methane for SMR (PLEXOS results)</t>
  </si>
  <si>
    <t>Final numbers</t>
  </si>
  <si>
    <t>Danish Technology cataloq</t>
  </si>
  <si>
    <t>Technology</t>
  </si>
  <si>
    <t>Biogas plant, Basic plant, large [~ 6,000 Nm3 CH4/h]</t>
  </si>
  <si>
    <t>year</t>
  </si>
  <si>
    <t>Ref</t>
  </si>
  <si>
    <t>Biomethane costs calculations anearob digestion</t>
  </si>
  <si>
    <t>est</t>
  </si>
  <si>
    <t>Est</t>
  </si>
  <si>
    <t>Lower</t>
  </si>
  <si>
    <t>Upper</t>
  </si>
  <si>
    <t>-</t>
  </si>
  <si>
    <t>cat</t>
  </si>
  <si>
    <t>par</t>
  </si>
  <si>
    <t>Basic plant configuration</t>
  </si>
  <si>
    <t>Biomethane costs calculation (no upgrade)</t>
  </si>
  <si>
    <t>Energy/technical data</t>
  </si>
  <si>
    <t>Plant size</t>
  </si>
  <si>
    <t>MW output</t>
  </si>
  <si>
    <t>Year</t>
  </si>
  <si>
    <t>Capacity [mill. tons biomass input/year]</t>
  </si>
  <si>
    <t>[A, B]</t>
  </si>
  <si>
    <t>Input raw material</t>
  </si>
  <si>
    <t>tons/year</t>
  </si>
  <si>
    <t>Total investment (mio €)</t>
  </si>
  <si>
    <t>Total plant size [MW output]</t>
  </si>
  <si>
    <t>R</t>
  </si>
  <si>
    <t>[1, 2]</t>
  </si>
  <si>
    <t>Outages</t>
  </si>
  <si>
    <t>Days/year</t>
  </si>
  <si>
    <t>CAPEX mio. €/YEAR</t>
  </si>
  <si>
    <t>Input</t>
  </si>
  <si>
    <t>Lifetime</t>
  </si>
  <si>
    <t>Years</t>
  </si>
  <si>
    <t>OPEX mio. €/YEAR</t>
  </si>
  <si>
    <t>Biomass [mill. tons/year]</t>
  </si>
  <si>
    <t>B</t>
  </si>
  <si>
    <t>Total costs mio. €/year</t>
  </si>
  <si>
    <t>Aux. electricity [% of output energy]</t>
  </si>
  <si>
    <t>C</t>
  </si>
  <si>
    <t>Cost of capital</t>
  </si>
  <si>
    <t>Aux. electricity [kWh/ton input]</t>
  </si>
  <si>
    <t>WACC</t>
  </si>
  <si>
    <t>Gasproduktion MWh/year</t>
  </si>
  <si>
    <t>Aux. process heat [% of output energy]</t>
  </si>
  <si>
    <t>D</t>
  </si>
  <si>
    <t>Time</t>
  </si>
  <si>
    <t>years</t>
  </si>
  <si>
    <t>Aux. process heat [kWh/ton input]</t>
  </si>
  <si>
    <t>Anual factor</t>
  </si>
  <si>
    <t>€ /year/MWh gas produced</t>
  </si>
  <si>
    <t>Output</t>
  </si>
  <si>
    <t>Biogas [%]</t>
  </si>
  <si>
    <t>Biomass Input costs</t>
  </si>
  <si>
    <t>Feedstock costs (mio. €/year)</t>
  </si>
  <si>
    <t>Biogas [GJ/ton input]</t>
  </si>
  <si>
    <t>Type</t>
  </si>
  <si>
    <t>Input share</t>
  </si>
  <si>
    <t>Price incl. transport (€/ton)</t>
  </si>
  <si>
    <t>Feedstock cost €/MWh produced</t>
  </si>
  <si>
    <t>Biogas production, [MJ/s]</t>
  </si>
  <si>
    <t>Manure (pig and cattle)</t>
  </si>
  <si>
    <t>Forced outage [%]</t>
  </si>
  <si>
    <t>Deep bed material</t>
  </si>
  <si>
    <t>Including feed stock costs</t>
  </si>
  <si>
    <t>Planned outage [days per year]</t>
  </si>
  <si>
    <t>Manure, stable</t>
  </si>
  <si>
    <t>Technical lifetime [years]</t>
  </si>
  <si>
    <t>E</t>
  </si>
  <si>
    <t>Straw</t>
  </si>
  <si>
    <t>Upgrade of biogas (Size 58,69 MW)</t>
  </si>
  <si>
    <t>Construction time [years]</t>
  </si>
  <si>
    <t>[F, Q]</t>
  </si>
  <si>
    <t>Industrial organic waste</t>
  </si>
  <si>
    <t>Financial data</t>
  </si>
  <si>
    <t>Household waste</t>
  </si>
  <si>
    <t>Total investment Mio €</t>
  </si>
  <si>
    <t>Specific investment [M€/MWh Output]</t>
  </si>
  <si>
    <t>[G, H, I, J, N, O]</t>
  </si>
  <si>
    <t>Energy crops</t>
  </si>
  <si>
    <t>CAPEX</t>
  </si>
  <si>
    <t xml:space="preserve"> - of which equipment [M€/MWh Output]</t>
  </si>
  <si>
    <t>[G, H, I, J]</t>
  </si>
  <si>
    <t>Other</t>
  </si>
  <si>
    <t>OPEX</t>
  </si>
  <si>
    <t xml:space="preserve"> - of which installation [M€/MWh Output]</t>
  </si>
  <si>
    <t>Average cost of material (€/ton)*</t>
  </si>
  <si>
    <t>Total fixed costs Mio €/year</t>
  </si>
  <si>
    <t>Total O&amp;M [k€/MW/year]</t>
  </si>
  <si>
    <t>[G, H, I, L]</t>
  </si>
  <si>
    <t>* converted to 2022 € from 2015€</t>
  </si>
  <si>
    <t xml:space="preserve">  Total O&amp;M [€/(ton input/year)]</t>
  </si>
  <si>
    <t>[G, H, I, K, P]</t>
  </si>
  <si>
    <t>Factor</t>
  </si>
  <si>
    <t>Gas produced</t>
  </si>
  <si>
    <t>- of which O&amp;M, excl electricity and heat [€/(ton input/year)]</t>
  </si>
  <si>
    <t>[G, H, I, K]</t>
  </si>
  <si>
    <t>- of which electricity [€/(ton input/year)]</t>
  </si>
  <si>
    <t>[G, H, I, P]</t>
  </si>
  <si>
    <t>Fixed costs €/MWh</t>
  </si>
  <si>
    <t>- of which heat [€/(ton input/year)]</t>
  </si>
  <si>
    <t>[G, H, I]</t>
  </si>
  <si>
    <t>Technology-specific data</t>
  </si>
  <si>
    <t>Variable cost €/Gj</t>
  </si>
  <si>
    <t>Hourly gas output [k Nm3 CH4/h]</t>
  </si>
  <si>
    <t>[1, 3]</t>
  </si>
  <si>
    <t>Variable cost €/MWh</t>
  </si>
  <si>
    <t>Yearly gas output [mill. Nm3 CH4/year]</t>
  </si>
  <si>
    <t>HRT [days]</t>
  </si>
  <si>
    <t>M</t>
  </si>
  <si>
    <t xml:space="preserve">DS% </t>
  </si>
  <si>
    <t>N</t>
  </si>
  <si>
    <t>Methane emission [% of output]</t>
  </si>
  <si>
    <t>[1, 4]</t>
  </si>
  <si>
    <t>CO2 ressource [mill. Nm3 CO2/year]</t>
  </si>
  <si>
    <t>Total biogas and upgrade 2020</t>
  </si>
  <si>
    <t>CO2 ressource [kton/year]</t>
  </si>
  <si>
    <t>Feedstoc costs</t>
  </si>
  <si>
    <t xml:space="preserve">Thermal gasification costs </t>
  </si>
  <si>
    <t>Biomass</t>
  </si>
  <si>
    <t>Share, 2015</t>
  </si>
  <si>
    <t>Share, 2020</t>
  </si>
  <si>
    <t>Price per ton (€), incl transport</t>
  </si>
  <si>
    <t>Basic planmt configurations</t>
  </si>
  <si>
    <t>Size (input)</t>
  </si>
  <si>
    <t>MWth</t>
  </si>
  <si>
    <t>Output (SNG)</t>
  </si>
  <si>
    <t>Plant size MWhth</t>
  </si>
  <si>
    <t>Heat</t>
  </si>
  <si>
    <t>Outeges unplanned</t>
  </si>
  <si>
    <t>Planned</t>
  </si>
  <si>
    <t>week/year</t>
  </si>
  <si>
    <t>Total yearly costs (Mio €/year)</t>
  </si>
  <si>
    <t>Running hours</t>
  </si>
  <si>
    <t>h/year</t>
  </si>
  <si>
    <t>Yearly produktion of SNG (MWh)</t>
  </si>
  <si>
    <t>"Udvikling og effektivisering af biogasproduktionen I Danmark – Delrapport 1 og 2”, Danish Energy Agency Biogas Taskforce 2015.</t>
  </si>
  <si>
    <t>”Anvendelse af biogas til el- og varmeproduktion, analyser for Biogas Taskforce”, Ea Energianalyse, 2014</t>
  </si>
  <si>
    <t>Discount rate</t>
  </si>
  <si>
    <t>Produktion cost €/MWh gas produced</t>
  </si>
  <si>
    <t>"Biomasse til biogasanlæg i Danmark - på kort og langt sigt", Agrotech, November 2013</t>
  </si>
  <si>
    <t>”Miljøeffekter af metanlækage på biogasanlæg”, Agrotek, 2015</t>
  </si>
  <si>
    <t>Feedstock cost (from biomethane tool) €/MWh</t>
  </si>
  <si>
    <t>Upgrading</t>
  </si>
  <si>
    <t>Total cost of SNG inclusive feedstock</t>
  </si>
  <si>
    <t>Biogas upgrading - Amine scrubber [~6,000 Nm3 CH4/h)</t>
  </si>
  <si>
    <t>Biomehtane 2020</t>
  </si>
  <si>
    <t>Biomethane costs in (2020 €)</t>
  </si>
  <si>
    <t>Based on https://ens.dk/en/analyses-and-statistics/technology-data-renewable-fuels</t>
  </si>
  <si>
    <t>Capacity, Biomethane output [k Nm3 biomethane/h]</t>
  </si>
  <si>
    <t>Yearly production [k Nm3 biomethane/year]</t>
  </si>
  <si>
    <t>Overview biomethane costs (€/MWh) including feedstock</t>
  </si>
  <si>
    <t>Biogas [% of biogas input]</t>
  </si>
  <si>
    <t>biomethane - Anaerobic digestion including upgrade and injection</t>
  </si>
  <si>
    <t>Auxilliary electricity for upgrading [% of biogas input]</t>
  </si>
  <si>
    <t>A</t>
  </si>
  <si>
    <t>Thermal gasification</t>
  </si>
  <si>
    <t>Heat [% of biogas input]</t>
  </si>
  <si>
    <t>in 2024 €</t>
  </si>
  <si>
    <t>Biomethane [% of methane input]</t>
  </si>
  <si>
    <t>Waste gas [% of methane input]</t>
  </si>
  <si>
    <t>Waste heat [% of methane input]</t>
  </si>
  <si>
    <t>Forced outage [weeks per year]</t>
  </si>
  <si>
    <t>SNG - Thermal gasification</t>
  </si>
  <si>
    <t>Planned outage [weeks per year]</t>
  </si>
  <si>
    <t>Guidehouse A gas for climate report</t>
  </si>
  <si>
    <t>Specific investment, upgrading and methane reduction [k€/MW output]</t>
  </si>
  <si>
    <t>[E, F, G]</t>
  </si>
  <si>
    <t>Anaerobic digestion total (TWh)</t>
  </si>
  <si>
    <t>Fixed O&amp;M [k€/MW output/year]</t>
  </si>
  <si>
    <t>Thermal gasification total (TWh)</t>
  </si>
  <si>
    <t>- of which fixed O&amp;M costs upgrading and methane reduction, excl. electricity and heat [k€/MW output/year]</t>
  </si>
  <si>
    <t>- of which fixed O&amp;M costs for heat [k€/MW output/year]</t>
  </si>
  <si>
    <t>- of which fixed O&amp;M costs for electricity [k€/MW output/year]</t>
  </si>
  <si>
    <t>Shares based on potentials from "Guidehouse"</t>
  </si>
  <si>
    <t>Variable O&amp;M [€/GJ output]</t>
  </si>
  <si>
    <t>Share anaerob digestion</t>
  </si>
  <si>
    <t>- of which electricity [€/GJ output]</t>
  </si>
  <si>
    <t>Share thermal gasification</t>
  </si>
  <si>
    <t>Source: "Biomethane production potentials in the EU" by Guidehouse, july 2022</t>
  </si>
  <si>
    <t>Methane slip / emission [%]</t>
  </si>
  <si>
    <t>[1, 2, 4]</t>
  </si>
  <si>
    <t>Minimum load [% of full load]</t>
  </si>
  <si>
    <t>CO2 ressource [mill. Nm3/year]</t>
  </si>
  <si>
    <t>1 gj =</t>
  </si>
  <si>
    <t>MWh</t>
  </si>
  <si>
    <t>Gasifier, biomass, producer gas, small - medium scale</t>
  </si>
  <si>
    <t>ctrl</t>
  </si>
  <si>
    <t>Biomethane costs (€/MWh)</t>
  </si>
  <si>
    <t>Typical fuel input capacity, one unit [MWth]</t>
  </si>
  <si>
    <t>1,2,8</t>
  </si>
  <si>
    <t>Biomass [% of input capacity]</t>
  </si>
  <si>
    <t>Electricity [% of input capacity]</t>
  </si>
  <si>
    <t>Biomethane costs (€/Gj)</t>
  </si>
  <si>
    <t>Producer gas Output [% of fuel input]</t>
  </si>
  <si>
    <t>3,4,5,8,11</t>
  </si>
  <si>
    <t>Heat Output [% of input]</t>
  </si>
  <si>
    <t>Unplanned outage [%]</t>
  </si>
  <si>
    <t>1.5</t>
  </si>
  <si>
    <t>Specific investment [M€/MWth]</t>
  </si>
  <si>
    <t>1,3,4,5</t>
  </si>
  <si>
    <t xml:space="preserve"> - of which equipment</t>
  </si>
  <si>
    <t xml:space="preserve"> - of which installation</t>
  </si>
  <si>
    <t>Fixed O&amp;M [€/MWth/year]</t>
  </si>
  <si>
    <t>Variable O&amp;M [€/MWhth]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</si>
</sst>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00"/>
    <numFmt numFmtId="166" formatCode="_(* #,##0_);_(* \(#,##0\);_(* &quot;-&quot;??_);_(@_)"/>
    <numFmt numFmtId="167" formatCode="_ * #,##0.00_ ;_ * \-#,##0.00_ ;_ * &quot;-&quot;??_ ;_ @_ "/>
    <numFmt numFmtId="168" formatCode="_-* #,##0_-;\-* #,##0_-;_-* &quot;-&quot;??_-;_-@_-"/>
    <numFmt numFmtId="169" formatCode="0.0%"/>
    <numFmt numFmtId="170" formatCode="_-* #,##0.0\ _€_-;\-* #,##0.0\ _€_-;_-* &quot;-&quot;?\ _€_-;_-@_-"/>
    <numFmt numFmtId="171" formatCode="#,##0.000000"/>
    <numFmt numFmtId="172" formatCode="_ * #,##0_ ;_ * \-#,##0_ ;_ * &quot;-&quot;??_ ;_ @_ "/>
  </numFmts>
  <fonts count="40" x14ac:knownFonts="1">
    <font>
      <sz val="11"/>
      <color theme="1"/>
      <name val="Aptos Narrow"/>
      <family val="2"/>
      <scheme val="minor"/>
    </font>
    <font>
      <sz val="11"/>
      <color indexed="8"/>
      <name val="Calibri"/>
      <family val="2"/>
    </font>
    <font>
      <b/>
      <sz val="8"/>
      <name val="Arial"/>
      <family val="2"/>
    </font>
    <font>
      <b/>
      <sz val="16"/>
      <color rgb="FF000000"/>
      <name val="Aptos Narrow"/>
      <family val="2"/>
    </font>
    <font>
      <sz val="11"/>
      <color theme="1"/>
      <name val="Aptos Narrow"/>
      <family val="2"/>
    </font>
    <font>
      <b/>
      <sz val="11"/>
      <color rgb="FFFFFFFF"/>
      <name val="Aptos Narrow"/>
      <family val="2"/>
    </font>
    <font>
      <b/>
      <sz val="11"/>
      <color rgb="FFFFFFFF"/>
      <name val="Calibri"/>
      <family val="2"/>
    </font>
    <font>
      <sz val="10"/>
      <color rgb="FF000000"/>
      <name val="Aptos Narrow"/>
      <family val="2"/>
    </font>
    <font>
      <b/>
      <sz val="10"/>
      <color rgb="FF000000"/>
      <name val="Aptos Narrow"/>
      <family val="2"/>
    </font>
    <font>
      <sz val="10"/>
      <name val="Aptos Narrow"/>
      <family val="2"/>
    </font>
    <font>
      <b/>
      <sz val="10"/>
      <name val="Aptos Narrow"/>
      <family val="2"/>
    </font>
    <font>
      <b/>
      <sz val="11"/>
      <color theme="1"/>
      <name val="Aptos Narrow"/>
      <family val="2"/>
      <scheme val="minor"/>
    </font>
    <font>
      <b/>
      <sz val="18"/>
      <color theme="1"/>
      <name val="Aptos Narrow"/>
      <family val="2"/>
      <scheme val="minor"/>
    </font>
    <font>
      <sz val="11"/>
      <color rgb="FFFFFFFF"/>
      <name val="Aptos Narrow"/>
      <family val="2"/>
      <charset val="238"/>
      <scheme val="minor"/>
    </font>
    <font>
      <sz val="11"/>
      <color rgb="FF000000"/>
      <name val="Aptos Narrow"/>
      <family val="2"/>
      <charset val="238"/>
      <scheme val="minor"/>
    </font>
    <font>
      <u/>
      <sz val="11"/>
      <color theme="10"/>
      <name val="Aptos Narrow"/>
      <family val="2"/>
      <scheme val="minor"/>
    </font>
    <font>
      <b/>
      <sz val="11"/>
      <color rgb="FF000000"/>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8"/>
      <color rgb="FF969696"/>
      <name val="Aptos Narrow"/>
      <family val="2"/>
      <scheme val="minor"/>
    </font>
    <font>
      <sz val="8"/>
      <color rgb="FF969696"/>
      <name val="Aptos Narrow"/>
      <family val="2"/>
      <scheme val="minor"/>
    </font>
    <font>
      <b/>
      <sz val="8"/>
      <name val="Aptos Narrow"/>
      <family val="2"/>
      <scheme val="minor"/>
    </font>
    <font>
      <sz val="8"/>
      <name val="Aptos Narrow"/>
      <family val="2"/>
      <scheme val="minor"/>
    </font>
    <font>
      <b/>
      <i/>
      <sz val="8"/>
      <name val="Aptos Narrow"/>
      <family val="2"/>
      <scheme val="minor"/>
    </font>
    <font>
      <sz val="9"/>
      <name val="Arial"/>
      <family val="2"/>
    </font>
    <font>
      <sz val="8"/>
      <color rgb="FF969696"/>
      <name val="Calibri"/>
      <family val="2"/>
    </font>
    <font>
      <b/>
      <sz val="8"/>
      <name val="Calibri"/>
      <family val="2"/>
    </font>
    <font>
      <b/>
      <sz val="8"/>
      <color rgb="FF969696"/>
      <name val="Calibri"/>
      <family val="2"/>
    </font>
    <font>
      <sz val="8"/>
      <name val="Calibri"/>
      <family val="2"/>
    </font>
    <font>
      <sz val="8"/>
      <name val="Arial"/>
      <family val="2"/>
    </font>
    <font>
      <sz val="11"/>
      <color rgb="FFFFFFFF"/>
      <name val="Calibri"/>
      <family val="2"/>
    </font>
    <font>
      <b/>
      <sz val="11"/>
      <color theme="0"/>
      <name val="Calibri"/>
      <family val="2"/>
    </font>
    <font>
      <sz val="11"/>
      <color theme="1"/>
      <name val="Calibri"/>
      <family val="2"/>
    </font>
    <font>
      <b/>
      <sz val="8"/>
      <color theme="1"/>
      <name val="Aptos Narrow"/>
      <family val="2"/>
      <scheme val="minor"/>
    </font>
    <font>
      <sz val="8"/>
      <color theme="1"/>
      <name val="Aptos Narrow"/>
      <family val="2"/>
      <scheme val="minor"/>
    </font>
    <font>
      <sz val="11"/>
      <color theme="1"/>
      <name val="Arial"/>
      <family val="2"/>
    </font>
    <font>
      <u/>
      <sz val="10"/>
      <color indexed="12"/>
      <name val="Arial"/>
      <family val="2"/>
    </font>
    <font>
      <b/>
      <sz val="8"/>
      <color theme="1"/>
      <name val="Calibri"/>
      <family val="2"/>
    </font>
    <font>
      <sz val="8"/>
      <color theme="1"/>
      <name val="Calibri"/>
      <family val="2"/>
    </font>
  </fonts>
  <fills count="22">
    <fill>
      <patternFill patternType="none"/>
    </fill>
    <fill>
      <patternFill patternType="gray125"/>
    </fill>
    <fill>
      <patternFill patternType="solid">
        <fgColor rgb="FFFFFF00"/>
        <bgColor rgb="FF000000"/>
      </patternFill>
    </fill>
    <fill>
      <patternFill patternType="solid">
        <fgColor rgb="FF3C7D22"/>
        <bgColor rgb="FF000000"/>
      </patternFill>
    </fill>
    <fill>
      <patternFill patternType="solid">
        <fgColor rgb="FFE8E8E8"/>
        <bgColor rgb="FF000000"/>
      </patternFill>
    </fill>
    <fill>
      <patternFill patternType="solid">
        <fgColor rgb="FFFFFFFF"/>
        <bgColor rgb="FF000000"/>
      </patternFill>
    </fill>
    <fill>
      <patternFill patternType="solid">
        <fgColor rgb="FF00B0F0"/>
        <bgColor rgb="FF000000"/>
      </patternFill>
    </fill>
    <fill>
      <patternFill patternType="solid">
        <fgColor rgb="FF305496"/>
        <bgColor rgb="FF000000"/>
      </patternFill>
    </fill>
    <fill>
      <patternFill patternType="solid">
        <fgColor theme="1"/>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C00000"/>
        <bgColor indexed="64"/>
      </patternFill>
    </fill>
    <fill>
      <patternFill patternType="solid">
        <fgColor theme="9" tint="-0.499984740745262"/>
        <bgColor indexed="64"/>
      </patternFill>
    </fill>
    <fill>
      <patternFill patternType="solid">
        <fgColor rgb="FF7030A0"/>
        <bgColor indexed="64"/>
      </patternFill>
    </fill>
    <fill>
      <patternFill patternType="solid">
        <fgColor rgb="FF00206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4"/>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rgb="FF000000"/>
      </bottom>
      <diagonal/>
    </border>
    <border>
      <left/>
      <right/>
      <top/>
      <bottom style="dotted">
        <color rgb="FF000000"/>
      </bottom>
      <diagonal/>
    </border>
    <border>
      <left/>
      <right style="medium">
        <color indexed="64"/>
      </right>
      <top/>
      <bottom style="dotted">
        <color rgb="FF000000"/>
      </bottom>
      <diagonal/>
    </border>
    <border>
      <left style="medium">
        <color indexed="64"/>
      </left>
      <right/>
      <top style="dotted">
        <color rgb="FF000000"/>
      </top>
      <bottom style="dotted">
        <color rgb="FF000000"/>
      </bottom>
      <diagonal/>
    </border>
    <border>
      <left/>
      <right/>
      <top style="dotted">
        <color rgb="FF000000"/>
      </top>
      <bottom style="dotted">
        <color rgb="FF000000"/>
      </bottom>
      <diagonal/>
    </border>
    <border>
      <left/>
      <right style="medium">
        <color indexed="64"/>
      </right>
      <top style="dotted">
        <color rgb="FF000000"/>
      </top>
      <bottom style="dotted">
        <color rgb="FF000000"/>
      </bottom>
      <diagonal/>
    </border>
    <border>
      <left style="medium">
        <color indexed="64"/>
      </left>
      <right/>
      <top style="dotted">
        <color rgb="FF000000"/>
      </top>
      <bottom style="medium">
        <color indexed="64"/>
      </bottom>
      <diagonal/>
    </border>
    <border>
      <left/>
      <right/>
      <top style="dotted">
        <color rgb="FF000000"/>
      </top>
      <bottom style="medium">
        <color indexed="64"/>
      </bottom>
      <diagonal/>
    </border>
    <border>
      <left/>
      <right style="medium">
        <color indexed="64"/>
      </right>
      <top style="dotted">
        <color rgb="FF000000"/>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8">
    <xf numFmtId="0" fontId="0" fillId="0" borderId="0"/>
    <xf numFmtId="0" fontId="1" fillId="0" borderId="0"/>
    <xf numFmtId="0" fontId="15" fillId="0" borderId="0" applyNumberFormat="0" applyFill="0" applyBorder="0" applyAlignment="0" applyProtection="0"/>
    <xf numFmtId="9"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0" fontId="1" fillId="0" borderId="0"/>
    <xf numFmtId="0" fontId="37" fillId="0" borderId="0" applyNumberFormat="0" applyFill="0" applyBorder="0" applyAlignment="0" applyProtection="0">
      <alignment vertical="top"/>
      <protection locked="0"/>
    </xf>
  </cellStyleXfs>
  <cellXfs count="255">
    <xf numFmtId="0" fontId="0" fillId="0" borderId="0" xfId="0"/>
    <xf numFmtId="0" fontId="2" fillId="0" borderId="8" xfId="1" applyFont="1" applyBorder="1" applyAlignment="1">
      <alignment horizontal="left" vertical="center" indent="1"/>
    </xf>
    <xf numFmtId="0" fontId="2" fillId="0" borderId="11" xfId="1" applyFont="1" applyBorder="1" applyAlignment="1">
      <alignment horizontal="left" vertical="center" wrapText="1" indent="1"/>
    </xf>
    <xf numFmtId="0" fontId="2" fillId="0" borderId="14" xfId="1" applyFont="1" applyBorder="1" applyAlignment="1">
      <alignment horizontal="left" vertical="center" wrapText="1" indent="1"/>
    </xf>
    <xf numFmtId="0" fontId="3" fillId="0" borderId="1" xfId="0" applyFont="1" applyBorder="1" applyAlignment="1">
      <alignment horizontal="center"/>
    </xf>
    <xf numFmtId="0" fontId="4" fillId="2" borderId="2" xfId="0" applyFont="1" applyFill="1" applyBorder="1"/>
    <xf numFmtId="0" fontId="4" fillId="0" borderId="2" xfId="0" applyFont="1" applyBorder="1"/>
    <xf numFmtId="0" fontId="4" fillId="0" borderId="3" xfId="0" applyFont="1" applyBorder="1"/>
    <xf numFmtId="0" fontId="4" fillId="0" borderId="4" xfId="0" applyFont="1" applyBorder="1"/>
    <xf numFmtId="0" fontId="4" fillId="0" borderId="0" xfId="0" applyFont="1"/>
    <xf numFmtId="0" fontId="4" fillId="0" borderId="5" xfId="0" applyFont="1" applyBorder="1"/>
    <xf numFmtId="0" fontId="5" fillId="3" borderId="4" xfId="0" applyFont="1" applyFill="1" applyBorder="1"/>
    <xf numFmtId="1" fontId="6" fillId="3" borderId="0" xfId="1" applyNumberFormat="1" applyFont="1" applyFill="1" applyAlignment="1">
      <alignment horizontal="center" vertical="center"/>
    </xf>
    <xf numFmtId="0" fontId="5" fillId="3" borderId="0" xfId="0" applyFont="1" applyFill="1" applyAlignment="1">
      <alignment horizontal="center"/>
    </xf>
    <xf numFmtId="0" fontId="5" fillId="3" borderId="5" xfId="0" applyFont="1" applyFill="1" applyBorder="1" applyAlignment="1">
      <alignment horizontal="center"/>
    </xf>
    <xf numFmtId="0" fontId="7" fillId="0" borderId="6" xfId="0" applyFont="1" applyBorder="1"/>
    <xf numFmtId="0" fontId="7" fillId="0" borderId="7" xfId="0" applyFont="1" applyBorder="1" applyAlignment="1">
      <alignment horizontal="center"/>
    </xf>
    <xf numFmtId="164" fontId="8" fillId="0" borderId="7" xfId="0" applyNumberFormat="1" applyFont="1" applyBorder="1" applyAlignment="1">
      <alignment horizontal="center"/>
    </xf>
    <xf numFmtId="0" fontId="7" fillId="4" borderId="9" xfId="0" applyFont="1" applyFill="1" applyBorder="1"/>
    <xf numFmtId="0" fontId="7" fillId="4" borderId="10" xfId="0" applyFont="1" applyFill="1" applyBorder="1" applyAlignment="1">
      <alignment horizontal="center"/>
    </xf>
    <xf numFmtId="164" fontId="8" fillId="4" borderId="10" xfId="0" applyNumberFormat="1" applyFont="1" applyFill="1" applyBorder="1" applyAlignment="1">
      <alignment horizontal="center"/>
    </xf>
    <xf numFmtId="0" fontId="2" fillId="4" borderId="11" xfId="1" applyFont="1" applyFill="1" applyBorder="1" applyAlignment="1">
      <alignment horizontal="left" vertical="center" wrapText="1" indent="1"/>
    </xf>
    <xf numFmtId="0" fontId="7" fillId="0" borderId="9" xfId="0" applyFont="1" applyBorder="1" applyAlignment="1">
      <alignment horizontal="left" wrapText="1"/>
    </xf>
    <xf numFmtId="0" fontId="7" fillId="0" borderId="10" xfId="0" applyFont="1" applyBorder="1" applyAlignment="1">
      <alignment horizontal="center"/>
    </xf>
    <xf numFmtId="0" fontId="7" fillId="0" borderId="9" xfId="0" applyFont="1" applyBorder="1"/>
    <xf numFmtId="164" fontId="8" fillId="0" borderId="10" xfId="0" applyNumberFormat="1" applyFont="1" applyBorder="1" applyAlignment="1">
      <alignment horizontal="center"/>
    </xf>
    <xf numFmtId="49" fontId="9" fillId="5" borderId="12" xfId="0" applyNumberFormat="1" applyFont="1" applyFill="1" applyBorder="1" applyAlignment="1">
      <alignment horizontal="left" vertical="top" wrapText="1"/>
    </xf>
    <xf numFmtId="0" fontId="9" fillId="0" borderId="13" xfId="0" applyFont="1" applyBorder="1" applyAlignment="1">
      <alignment horizontal="center"/>
    </xf>
    <xf numFmtId="2" fontId="10" fillId="0" borderId="13" xfId="0" applyNumberFormat="1" applyFont="1" applyBorder="1" applyAlignment="1">
      <alignment horizontal="center"/>
    </xf>
    <xf numFmtId="0" fontId="7" fillId="0" borderId="9" xfId="0" applyFont="1" applyBorder="1" applyAlignment="1">
      <alignment horizontal="left" vertical="top" wrapText="1"/>
    </xf>
    <xf numFmtId="0" fontId="13" fillId="6" borderId="16" xfId="0" applyFont="1" applyFill="1" applyBorder="1" applyAlignment="1">
      <alignment horizontal="center"/>
    </xf>
    <xf numFmtId="0" fontId="14" fillId="0" borderId="16" xfId="0" applyFont="1" applyBorder="1"/>
    <xf numFmtId="0" fontId="14" fillId="0" borderId="16" xfId="0" applyFont="1" applyBorder="1" applyAlignment="1">
      <alignment horizontal="center" vertical="center"/>
    </xf>
    <xf numFmtId="9" fontId="14" fillId="0" borderId="16" xfId="0" applyNumberFormat="1" applyFont="1" applyBorder="1"/>
    <xf numFmtId="165" fontId="14" fillId="0" borderId="16" xfId="0" applyNumberFormat="1" applyFont="1" applyBorder="1"/>
    <xf numFmtId="0" fontId="11" fillId="0" borderId="17" xfId="0" applyFont="1" applyBorder="1"/>
    <xf numFmtId="0" fontId="11" fillId="0" borderId="18" xfId="0" applyFont="1" applyBorder="1"/>
    <xf numFmtId="0" fontId="11" fillId="0" borderId="19" xfId="0" applyFont="1" applyBorder="1"/>
    <xf numFmtId="0" fontId="16" fillId="0" borderId="20" xfId="0" applyFont="1" applyBorder="1"/>
    <xf numFmtId="0" fontId="15" fillId="0" borderId="21" xfId="2" applyBorder="1"/>
    <xf numFmtId="0" fontId="0" fillId="0" borderId="22" xfId="0" applyBorder="1"/>
    <xf numFmtId="0" fontId="16" fillId="0" borderId="23" xfId="0" applyFont="1" applyBorder="1"/>
    <xf numFmtId="0" fontId="15" fillId="0" borderId="16" xfId="2" applyBorder="1"/>
    <xf numFmtId="0" fontId="0" fillId="0" borderId="24" xfId="0" applyBorder="1"/>
    <xf numFmtId="0" fontId="0" fillId="0" borderId="16" xfId="0" applyBorder="1"/>
    <xf numFmtId="0" fontId="0" fillId="0" borderId="24" xfId="0" applyBorder="1" applyAlignment="1">
      <alignment wrapText="1"/>
    </xf>
    <xf numFmtId="0" fontId="16" fillId="0" borderId="25" xfId="0" applyFont="1" applyBorder="1"/>
    <xf numFmtId="0" fontId="0" fillId="0" borderId="26" xfId="0" applyBorder="1"/>
    <xf numFmtId="0" fontId="0" fillId="0" borderId="27" xfId="0" applyBorder="1"/>
    <xf numFmtId="0" fontId="0" fillId="0" borderId="2" xfId="0" applyBorder="1"/>
    <xf numFmtId="0" fontId="0" fillId="0" borderId="29" xfId="0" applyBorder="1"/>
    <xf numFmtId="0" fontId="22" fillId="0" borderId="4" xfId="0" applyFont="1" applyBorder="1" applyAlignment="1">
      <alignment horizontal="left" vertical="top"/>
    </xf>
    <xf numFmtId="3" fontId="0" fillId="0" borderId="0" xfId="0" applyNumberFormat="1"/>
    <xf numFmtId="0" fontId="0" fillId="0" borderId="15" xfId="0" applyBorder="1"/>
    <xf numFmtId="0" fontId="23" fillId="0" borderId="0" xfId="0" applyFont="1" applyAlignment="1">
      <alignment horizontal="left" vertical="top"/>
    </xf>
    <xf numFmtId="0" fontId="23" fillId="0" borderId="0" xfId="0" applyFont="1" applyAlignment="1">
      <alignment horizontal="center" vertical="top"/>
    </xf>
    <xf numFmtId="0" fontId="23" fillId="0" borderId="5" xfId="0" applyFont="1" applyBorder="1" applyAlignment="1">
      <alignment horizontal="center" vertical="top"/>
    </xf>
    <xf numFmtId="9" fontId="0" fillId="0" borderId="0" xfId="0" applyNumberFormat="1"/>
    <xf numFmtId="0" fontId="0" fillId="0" borderId="34" xfId="0" applyBorder="1"/>
    <xf numFmtId="0" fontId="22" fillId="0" borderId="0" xfId="0" applyFont="1" applyAlignment="1">
      <alignment horizontal="left" vertical="top"/>
    </xf>
    <xf numFmtId="0" fontId="0" fillId="0" borderId="1" xfId="0" applyBorder="1"/>
    <xf numFmtId="0" fontId="0" fillId="0" borderId="23" xfId="0" applyBorder="1"/>
    <xf numFmtId="0" fontId="0" fillId="0" borderId="16" xfId="0" applyBorder="1" applyAlignment="1">
      <alignment wrapText="1"/>
    </xf>
    <xf numFmtId="4" fontId="0" fillId="0" borderId="0" xfId="0" applyNumberFormat="1"/>
    <xf numFmtId="9" fontId="0" fillId="0" borderId="15" xfId="0" applyNumberFormat="1" applyBorder="1"/>
    <xf numFmtId="0" fontId="28" fillId="0" borderId="0" xfId="0" applyFont="1" applyAlignment="1">
      <alignment horizontal="left" vertical="top"/>
    </xf>
    <xf numFmtId="0" fontId="27" fillId="0" borderId="0" xfId="0" applyFont="1" applyAlignment="1">
      <alignment horizontal="right" vertical="top"/>
    </xf>
    <xf numFmtId="0" fontId="27" fillId="0" borderId="0" xfId="0" applyFont="1" applyAlignment="1">
      <alignment horizontal="center" vertical="top"/>
    </xf>
    <xf numFmtId="0" fontId="27" fillId="0" borderId="0" xfId="0" applyFont="1" applyAlignment="1">
      <alignment horizontal="left" vertical="top"/>
    </xf>
    <xf numFmtId="0" fontId="29" fillId="0" borderId="0" xfId="0" applyFont="1" applyAlignment="1">
      <alignment horizontal="left" vertical="top"/>
    </xf>
    <xf numFmtId="0" fontId="29" fillId="0" borderId="0" xfId="0" applyFont="1" applyAlignment="1">
      <alignment horizontal="right" vertical="top"/>
    </xf>
    <xf numFmtId="0" fontId="29" fillId="0" borderId="0" xfId="0" applyFont="1"/>
    <xf numFmtId="0" fontId="29" fillId="0" borderId="0" xfId="0" applyFont="1" applyAlignment="1">
      <alignment horizontal="center" vertical="top"/>
    </xf>
    <xf numFmtId="0" fontId="30" fillId="0" borderId="0" xfId="0" applyFont="1"/>
    <xf numFmtId="0" fontId="27" fillId="0" borderId="31" xfId="0" applyFont="1" applyBorder="1" applyAlignment="1">
      <alignment horizontal="left" vertical="top"/>
    </xf>
    <xf numFmtId="0" fontId="29" fillId="0" borderId="31" xfId="0" applyFont="1" applyBorder="1" applyAlignment="1">
      <alignment horizontal="left" vertical="top"/>
    </xf>
    <xf numFmtId="0" fontId="29" fillId="0" borderId="31" xfId="0" applyFont="1" applyBorder="1" applyAlignment="1">
      <alignment horizontal="right" vertical="top"/>
    </xf>
    <xf numFmtId="0" fontId="29" fillId="0" borderId="31" xfId="0" applyFont="1" applyBorder="1" applyAlignment="1">
      <alignment horizontal="center" vertical="top"/>
    </xf>
    <xf numFmtId="0" fontId="29" fillId="0" borderId="0" xfId="0" applyFont="1" applyAlignment="1">
      <alignment horizontal="center" vertical="top" wrapText="1"/>
    </xf>
    <xf numFmtId="0" fontId="31" fillId="7" borderId="0" xfId="0" applyFont="1" applyFill="1"/>
    <xf numFmtId="0" fontId="0" fillId="0" borderId="0" xfId="0"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8" xfId="0" applyBorder="1"/>
    <xf numFmtId="0" fontId="32" fillId="8" borderId="0" xfId="0" applyFont="1" applyFill="1"/>
    <xf numFmtId="0" fontId="18" fillId="8" borderId="0" xfId="0" applyFont="1" applyFill="1"/>
    <xf numFmtId="0" fontId="33" fillId="0" borderId="0" xfId="0" applyFont="1"/>
    <xf numFmtId="166" fontId="33" fillId="0" borderId="0" xfId="0" applyNumberFormat="1" applyFont="1"/>
    <xf numFmtId="1" fontId="0" fillId="0" borderId="37" xfId="0" applyNumberFormat="1" applyBorder="1" applyAlignment="1">
      <alignment horizontal="center"/>
    </xf>
    <xf numFmtId="1" fontId="0" fillId="0" borderId="29" xfId="0" applyNumberFormat="1" applyBorder="1" applyAlignment="1">
      <alignment horizontal="center"/>
    </xf>
    <xf numFmtId="1" fontId="11" fillId="0" borderId="38" xfId="0" applyNumberFormat="1" applyFont="1" applyBorder="1" applyAlignment="1">
      <alignment horizontal="center"/>
    </xf>
    <xf numFmtId="0" fontId="33" fillId="0" borderId="15" xfId="0" applyFont="1" applyBorder="1"/>
    <xf numFmtId="166" fontId="33" fillId="0" borderId="15" xfId="0" applyNumberFormat="1" applyFont="1" applyBorder="1"/>
    <xf numFmtId="1" fontId="0" fillId="0" borderId="35" xfId="0" applyNumberFormat="1" applyBorder="1" applyAlignment="1">
      <alignment horizontal="center"/>
    </xf>
    <xf numFmtId="1" fontId="0" fillId="0" borderId="0" xfId="0" applyNumberFormat="1" applyAlignment="1">
      <alignment horizontal="center"/>
    </xf>
    <xf numFmtId="1" fontId="11" fillId="0" borderId="36" xfId="0" applyNumberFormat="1" applyFont="1" applyBorder="1" applyAlignment="1">
      <alignment horizontal="center"/>
    </xf>
    <xf numFmtId="1" fontId="0" fillId="0" borderId="39" xfId="0" applyNumberFormat="1" applyBorder="1" applyAlignment="1">
      <alignment horizontal="center"/>
    </xf>
    <xf numFmtId="1" fontId="0" fillId="0" borderId="15" xfId="0" applyNumberFormat="1" applyBorder="1" applyAlignment="1">
      <alignment horizontal="center"/>
    </xf>
    <xf numFmtId="1" fontId="11" fillId="0" borderId="40" xfId="0" applyNumberFormat="1" applyFont="1" applyBorder="1" applyAlignment="1">
      <alignment horizontal="center"/>
    </xf>
    <xf numFmtId="9" fontId="33" fillId="0" borderId="0" xfId="3" applyFont="1" applyFill="1" applyBorder="1"/>
    <xf numFmtId="9" fontId="33" fillId="0" borderId="15" xfId="3" applyFont="1" applyFill="1" applyBorder="1"/>
    <xf numFmtId="0" fontId="11" fillId="0" borderId="0" xfId="0" applyFont="1"/>
    <xf numFmtId="164" fontId="0" fillId="0" borderId="0" xfId="0" applyNumberFormat="1"/>
    <xf numFmtId="1" fontId="0" fillId="0" borderId="29" xfId="0" applyNumberFormat="1" applyBorder="1"/>
    <xf numFmtId="1" fontId="0" fillId="0" borderId="0" xfId="0" applyNumberFormat="1"/>
    <xf numFmtId="164" fontId="0" fillId="0" borderId="15" xfId="0" applyNumberFormat="1" applyBorder="1"/>
    <xf numFmtId="1" fontId="0" fillId="0" borderId="15" xfId="0" applyNumberFormat="1" applyBorder="1"/>
    <xf numFmtId="0" fontId="0" fillId="9" borderId="1" xfId="0" applyFill="1" applyBorder="1"/>
    <xf numFmtId="0" fontId="0" fillId="9" borderId="2" xfId="0" applyFill="1" applyBorder="1"/>
    <xf numFmtId="0" fontId="0" fillId="9" borderId="3" xfId="0" applyFill="1" applyBorder="1"/>
    <xf numFmtId="0" fontId="20" fillId="10" borderId="28" xfId="0" applyFont="1" applyFill="1" applyBorder="1" applyAlignment="1">
      <alignment horizontal="left" vertical="top"/>
    </xf>
    <xf numFmtId="0" fontId="21" fillId="10" borderId="29" xfId="0" applyFont="1" applyFill="1" applyBorder="1" applyAlignment="1">
      <alignment horizontal="left" vertical="top"/>
    </xf>
    <xf numFmtId="0" fontId="21" fillId="10" borderId="4" xfId="0" applyFont="1" applyFill="1" applyBorder="1" applyAlignment="1">
      <alignment horizontal="left" vertical="top"/>
    </xf>
    <xf numFmtId="0" fontId="21" fillId="10" borderId="0" xfId="0" applyFont="1" applyFill="1" applyAlignment="1">
      <alignment horizontal="left" vertical="top"/>
    </xf>
    <xf numFmtId="0" fontId="22" fillId="10" borderId="0" xfId="0" applyFont="1" applyFill="1" applyAlignment="1">
      <alignment horizontal="right" vertical="top"/>
    </xf>
    <xf numFmtId="0" fontId="22" fillId="10" borderId="0" xfId="0" applyFont="1" applyFill="1" applyAlignment="1">
      <alignment horizontal="center" vertical="top"/>
    </xf>
    <xf numFmtId="0" fontId="22" fillId="10" borderId="5" xfId="0" applyFont="1" applyFill="1" applyBorder="1" applyAlignment="1">
      <alignment horizontal="center" vertical="top"/>
    </xf>
    <xf numFmtId="0" fontId="0" fillId="8" borderId="0" xfId="0" applyFill="1"/>
    <xf numFmtId="0" fontId="20" fillId="10" borderId="30" xfId="0" applyFont="1" applyFill="1" applyBorder="1" applyAlignment="1">
      <alignment horizontal="left" vertical="top"/>
    </xf>
    <xf numFmtId="0" fontId="21" fillId="10" borderId="31" xfId="0" applyFont="1" applyFill="1" applyBorder="1" applyAlignment="1">
      <alignment horizontal="left" vertical="top"/>
    </xf>
    <xf numFmtId="0" fontId="22" fillId="10" borderId="31" xfId="0" applyFont="1" applyFill="1" applyBorder="1" applyAlignment="1">
      <alignment horizontal="right" vertical="top"/>
    </xf>
    <xf numFmtId="0" fontId="22" fillId="10" borderId="31" xfId="0" applyFont="1" applyFill="1" applyBorder="1" applyAlignment="1">
      <alignment horizontal="center" vertical="top"/>
    </xf>
    <xf numFmtId="0" fontId="22" fillId="10" borderId="32" xfId="0" applyFont="1" applyFill="1" applyBorder="1" applyAlignment="1">
      <alignment horizontal="center" vertical="top"/>
    </xf>
    <xf numFmtId="0" fontId="20" fillId="11" borderId="4" xfId="0" applyFont="1" applyFill="1" applyBorder="1" applyAlignment="1">
      <alignment horizontal="left" vertical="top"/>
    </xf>
    <xf numFmtId="0" fontId="20" fillId="11" borderId="0" xfId="0" applyFont="1" applyFill="1" applyAlignment="1">
      <alignment horizontal="left" vertical="top"/>
    </xf>
    <xf numFmtId="0" fontId="35" fillId="0" borderId="0" xfId="0" applyFont="1" applyAlignment="1">
      <alignment horizontal="right" vertical="top"/>
    </xf>
    <xf numFmtId="0" fontId="22" fillId="11" borderId="0" xfId="0" applyFont="1" applyFill="1" applyAlignment="1">
      <alignment horizontal="right" vertical="top"/>
    </xf>
    <xf numFmtId="0" fontId="22" fillId="11" borderId="0" xfId="0" applyFont="1" applyFill="1" applyAlignment="1">
      <alignment horizontal="center" vertical="top"/>
    </xf>
    <xf numFmtId="0" fontId="22" fillId="11" borderId="5" xfId="0" applyFont="1" applyFill="1" applyBorder="1" applyAlignment="1">
      <alignment horizontal="center" vertical="top"/>
    </xf>
    <xf numFmtId="0" fontId="18" fillId="12" borderId="0" xfId="0" applyFont="1" applyFill="1"/>
    <xf numFmtId="0" fontId="19" fillId="12" borderId="0" xfId="0" applyFont="1" applyFill="1"/>
    <xf numFmtId="0" fontId="18" fillId="13" borderId="0" xfId="0" applyFont="1" applyFill="1"/>
    <xf numFmtId="0" fontId="0" fillId="13" borderId="0" xfId="0" applyFill="1"/>
    <xf numFmtId="0" fontId="22" fillId="11" borderId="0" xfId="0" applyFont="1" applyFill="1" applyAlignment="1">
      <alignment horizontal="left" vertical="top"/>
    </xf>
    <xf numFmtId="0" fontId="23" fillId="11" borderId="0" xfId="0" applyFont="1" applyFill="1" applyAlignment="1">
      <alignment horizontal="left" vertical="top"/>
    </xf>
    <xf numFmtId="4" fontId="23" fillId="0" borderId="0" xfId="0" applyNumberFormat="1" applyFont="1" applyAlignment="1">
      <alignment horizontal="right" vertical="top"/>
    </xf>
    <xf numFmtId="4" fontId="23" fillId="11" borderId="0" xfId="0" applyNumberFormat="1" applyFont="1" applyFill="1" applyAlignment="1">
      <alignment horizontal="right" vertical="top"/>
    </xf>
    <xf numFmtId="0" fontId="35" fillId="0" borderId="0" xfId="0" applyFont="1" applyAlignment="1">
      <alignment horizontal="center" vertical="top"/>
    </xf>
    <xf numFmtId="0" fontId="35" fillId="0" borderId="5" xfId="0" applyFont="1" applyBorder="1" applyAlignment="1">
      <alignment horizontal="center" vertical="top"/>
    </xf>
    <xf numFmtId="164" fontId="0" fillId="0" borderId="29" xfId="0" applyNumberFormat="1" applyBorder="1"/>
    <xf numFmtId="0" fontId="24" fillId="11" borderId="0" xfId="0" quotePrefix="1" applyFont="1" applyFill="1" applyAlignment="1">
      <alignment horizontal="left" vertical="top"/>
    </xf>
    <xf numFmtId="0" fontId="23" fillId="11" borderId="0" xfId="0" applyFont="1" applyFill="1" applyAlignment="1">
      <alignment horizontal="center" vertical="top"/>
    </xf>
    <xf numFmtId="0" fontId="23" fillId="11" borderId="5" xfId="0" applyFont="1" applyFill="1" applyBorder="1" applyAlignment="1">
      <alignment horizontal="center" vertical="top"/>
    </xf>
    <xf numFmtId="164" fontId="11" fillId="0" borderId="0" xfId="0" applyNumberFormat="1" applyFont="1"/>
    <xf numFmtId="10" fontId="23" fillId="0" borderId="0" xfId="3" applyNumberFormat="1" applyFont="1" applyFill="1" applyBorder="1" applyAlignment="1">
      <alignment horizontal="right" vertical="top"/>
    </xf>
    <xf numFmtId="0" fontId="18" fillId="14" borderId="0" xfId="0" applyFont="1" applyFill="1"/>
    <xf numFmtId="0" fontId="11" fillId="14" borderId="0" xfId="0" applyFont="1" applyFill="1"/>
    <xf numFmtId="4" fontId="23" fillId="0" borderId="0" xfId="3" applyNumberFormat="1" applyFont="1" applyFill="1" applyBorder="1" applyAlignment="1">
      <alignment horizontal="right" vertical="top"/>
    </xf>
    <xf numFmtId="0" fontId="35" fillId="0" borderId="0" xfId="0" applyFont="1" applyAlignment="1">
      <alignment horizontal="left" vertical="top"/>
    </xf>
    <xf numFmtId="165" fontId="0" fillId="0" borderId="0" xfId="0" applyNumberFormat="1"/>
    <xf numFmtId="0" fontId="11" fillId="0" borderId="33" xfId="0" applyFont="1" applyBorder="1"/>
    <xf numFmtId="164" fontId="11" fillId="0" borderId="33" xfId="0" applyNumberFormat="1" applyFont="1" applyBorder="1"/>
    <xf numFmtId="0" fontId="24" fillId="0" borderId="0" xfId="0" quotePrefix="1" applyFont="1" applyAlignment="1">
      <alignment horizontal="left" vertical="top"/>
    </xf>
    <xf numFmtId="4" fontId="23" fillId="0" borderId="0" xfId="4" applyNumberFormat="1" applyFont="1" applyFill="1" applyBorder="1" applyAlignment="1">
      <alignment horizontal="right" vertical="top"/>
    </xf>
    <xf numFmtId="4" fontId="35" fillId="0" borderId="0" xfId="0" applyNumberFormat="1" applyFont="1" applyAlignment="1">
      <alignment horizontal="right" vertical="top"/>
    </xf>
    <xf numFmtId="0" fontId="23" fillId="0" borderId="0" xfId="0" quotePrefix="1" applyFont="1" applyAlignment="1">
      <alignment horizontal="left" vertical="top"/>
    </xf>
    <xf numFmtId="9" fontId="23" fillId="0" borderId="0" xfId="3" applyFont="1" applyFill="1" applyBorder="1" applyAlignment="1">
      <alignment horizontal="right" vertical="top"/>
    </xf>
    <xf numFmtId="0" fontId="18" fillId="15" borderId="0" xfId="0" applyFont="1" applyFill="1"/>
    <xf numFmtId="0" fontId="0" fillId="15" borderId="0" xfId="0" applyFill="1"/>
    <xf numFmtId="2" fontId="0" fillId="0" borderId="29" xfId="0" applyNumberFormat="1" applyBorder="1"/>
    <xf numFmtId="10" fontId="23" fillId="11" borderId="0" xfId="3" quotePrefix="1" applyNumberFormat="1" applyFont="1" applyFill="1" applyBorder="1" applyAlignment="1">
      <alignment horizontal="right" vertical="top"/>
    </xf>
    <xf numFmtId="2" fontId="0" fillId="0" borderId="0" xfId="0" applyNumberFormat="1"/>
    <xf numFmtId="4" fontId="23" fillId="11" borderId="0" xfId="0" quotePrefix="1" applyNumberFormat="1" applyFont="1" applyFill="1" applyAlignment="1">
      <alignment horizontal="right" vertical="top"/>
    </xf>
    <xf numFmtId="0" fontId="18" fillId="16" borderId="0" xfId="0" applyFont="1" applyFill="1"/>
    <xf numFmtId="4" fontId="22" fillId="11" borderId="0" xfId="0" applyNumberFormat="1" applyFont="1" applyFill="1" applyAlignment="1">
      <alignment horizontal="right" vertical="top"/>
    </xf>
    <xf numFmtId="2" fontId="0" fillId="0" borderId="15" xfId="0" applyNumberFormat="1" applyBorder="1"/>
    <xf numFmtId="0" fontId="11" fillId="0" borderId="34" xfId="0" applyFont="1" applyBorder="1"/>
    <xf numFmtId="2" fontId="11" fillId="0" borderId="34" xfId="0" applyNumberFormat="1" applyFont="1" applyBorder="1"/>
    <xf numFmtId="4" fontId="23" fillId="0" borderId="0" xfId="4" applyNumberFormat="1" applyFont="1" applyBorder="1" applyAlignment="1">
      <alignment horizontal="right" vertical="top"/>
    </xf>
    <xf numFmtId="168" fontId="0" fillId="0" borderId="0" xfId="5" applyNumberFormat="1" applyFont="1"/>
    <xf numFmtId="49" fontId="23" fillId="11" borderId="5" xfId="0" quotePrefix="1" applyNumberFormat="1" applyFont="1" applyFill="1" applyBorder="1" applyAlignment="1">
      <alignment horizontal="center" vertical="top"/>
    </xf>
    <xf numFmtId="0" fontId="34" fillId="0" borderId="4" xfId="0" applyFont="1" applyBorder="1" applyAlignment="1">
      <alignment horizontal="left" vertical="top"/>
    </xf>
    <xf numFmtId="0" fontId="22" fillId="11" borderId="4" xfId="0" applyFont="1" applyFill="1" applyBorder="1" applyAlignment="1">
      <alignment horizontal="left" vertical="top"/>
    </xf>
    <xf numFmtId="164" fontId="11" fillId="0" borderId="34" xfId="0" applyNumberFormat="1" applyFont="1" applyBorder="1"/>
    <xf numFmtId="0" fontId="34" fillId="11" borderId="30" xfId="0" applyFont="1" applyFill="1" applyBorder="1" applyAlignment="1">
      <alignment horizontal="left" vertical="top"/>
    </xf>
    <xf numFmtId="0" fontId="23" fillId="11" borderId="31" xfId="0" applyFont="1" applyFill="1" applyBorder="1" applyAlignment="1">
      <alignment horizontal="left" vertical="top"/>
    </xf>
    <xf numFmtId="4" fontId="23" fillId="11" borderId="31" xfId="0" applyNumberFormat="1" applyFont="1" applyFill="1" applyBorder="1" applyAlignment="1">
      <alignment horizontal="right" vertical="top"/>
    </xf>
    <xf numFmtId="0" fontId="35" fillId="11" borderId="31" xfId="0" applyFont="1" applyFill="1" applyBorder="1" applyAlignment="1">
      <alignment horizontal="center" vertical="top"/>
    </xf>
    <xf numFmtId="0" fontId="35" fillId="11" borderId="32" xfId="0" applyFont="1" applyFill="1" applyBorder="1" applyAlignment="1">
      <alignment horizontal="center" vertical="top"/>
    </xf>
    <xf numFmtId="0" fontId="0" fillId="0" borderId="3" xfId="0" applyBorder="1"/>
    <xf numFmtId="43" fontId="25" fillId="11" borderId="4" xfId="5" applyFont="1" applyFill="1" applyBorder="1" applyAlignment="1">
      <alignment vertical="top" wrapText="1"/>
    </xf>
    <xf numFmtId="43" fontId="25" fillId="11" borderId="0" xfId="5" applyFont="1" applyFill="1" applyBorder="1" applyAlignment="1">
      <alignment vertical="top" wrapText="1"/>
    </xf>
    <xf numFmtId="0" fontId="0" fillId="0" borderId="5" xfId="0" applyBorder="1"/>
    <xf numFmtId="0" fontId="0" fillId="17" borderId="0" xfId="0" applyFill="1"/>
    <xf numFmtId="0" fontId="0" fillId="18" borderId="16" xfId="0" applyFill="1" applyBorder="1" applyAlignment="1">
      <alignment horizontal="center" wrapText="1"/>
    </xf>
    <xf numFmtId="169" fontId="0" fillId="0" borderId="16" xfId="3" applyNumberFormat="1" applyFont="1" applyBorder="1"/>
    <xf numFmtId="2" fontId="0" fillId="18" borderId="16" xfId="0" applyNumberFormat="1" applyFill="1" applyBorder="1"/>
    <xf numFmtId="0" fontId="18" fillId="17" borderId="0" xfId="0" applyFont="1" applyFill="1"/>
    <xf numFmtId="0" fontId="19" fillId="17" borderId="0" xfId="0" applyFont="1" applyFill="1"/>
    <xf numFmtId="1" fontId="0" fillId="11" borderId="0" xfId="0" applyNumberFormat="1" applyFill="1"/>
    <xf numFmtId="164" fontId="0" fillId="18" borderId="16" xfId="0" applyNumberFormat="1" applyFill="1" applyBorder="1"/>
    <xf numFmtId="1" fontId="0" fillId="11" borderId="15" xfId="0" applyNumberFormat="1" applyFill="1" applyBorder="1"/>
    <xf numFmtId="164" fontId="0" fillId="11" borderId="29" xfId="0" applyNumberFormat="1" applyFill="1" applyBorder="1"/>
    <xf numFmtId="164" fontId="0" fillId="19" borderId="15" xfId="0" applyNumberFormat="1" applyFill="1" applyBorder="1"/>
    <xf numFmtId="169" fontId="0" fillId="0" borderId="0" xfId="0" applyNumberFormat="1"/>
    <xf numFmtId="0" fontId="0" fillId="0" borderId="4" xfId="0" applyBorder="1"/>
    <xf numFmtId="0" fontId="0" fillId="18" borderId="0" xfId="0" applyFill="1"/>
    <xf numFmtId="168" fontId="0" fillId="0" borderId="15" xfId="5" applyNumberFormat="1" applyFont="1" applyBorder="1"/>
    <xf numFmtId="170" fontId="11" fillId="0" borderId="33" xfId="0" applyNumberFormat="1" applyFont="1" applyBorder="1"/>
    <xf numFmtId="0" fontId="36" fillId="0" borderId="0" xfId="0" applyFont="1"/>
    <xf numFmtId="0" fontId="36" fillId="0" borderId="4" xfId="0" applyFont="1" applyBorder="1"/>
    <xf numFmtId="0" fontId="20" fillId="10" borderId="1" xfId="0" applyFont="1" applyFill="1" applyBorder="1" applyAlignment="1">
      <alignment horizontal="left" vertical="top"/>
    </xf>
    <xf numFmtId="0" fontId="21" fillId="10" borderId="2" xfId="0" applyFont="1" applyFill="1" applyBorder="1" applyAlignment="1">
      <alignment horizontal="left" vertical="top"/>
    </xf>
    <xf numFmtId="0" fontId="34" fillId="10" borderId="2" xfId="0" applyFont="1" applyFill="1" applyBorder="1" applyAlignment="1">
      <alignment horizontal="center" vertical="top" wrapText="1"/>
    </xf>
    <xf numFmtId="0" fontId="34" fillId="10" borderId="3" xfId="0" applyFont="1" applyFill="1" applyBorder="1" applyAlignment="1">
      <alignment horizontal="center" vertical="top" wrapText="1"/>
    </xf>
    <xf numFmtId="0" fontId="35" fillId="11" borderId="0" xfId="0" applyFont="1" applyFill="1" applyAlignment="1">
      <alignment horizontal="left" vertical="top"/>
    </xf>
    <xf numFmtId="0" fontId="18" fillId="20" borderId="0" xfId="0" applyFont="1" applyFill="1"/>
    <xf numFmtId="0" fontId="11" fillId="20" borderId="0" xfId="0" applyFont="1" applyFill="1"/>
    <xf numFmtId="0" fontId="22" fillId="11" borderId="0" xfId="0" quotePrefix="1" applyFont="1" applyFill="1" applyAlignment="1">
      <alignment horizontal="left" vertical="top"/>
    </xf>
    <xf numFmtId="0" fontId="11" fillId="0" borderId="15" xfId="0" applyFont="1" applyBorder="1"/>
    <xf numFmtId="9" fontId="23" fillId="11" borderId="0" xfId="3" applyFont="1" applyFill="1" applyBorder="1" applyAlignment="1">
      <alignment horizontal="right" vertical="top"/>
    </xf>
    <xf numFmtId="10" fontId="23" fillId="11" borderId="0" xfId="3" applyNumberFormat="1" applyFont="1" applyFill="1" applyBorder="1" applyAlignment="1">
      <alignment horizontal="right" vertical="top"/>
    </xf>
    <xf numFmtId="0" fontId="35" fillId="11" borderId="0" xfId="0" applyFont="1" applyFill="1" applyAlignment="1">
      <alignment horizontal="center" vertical="top"/>
    </xf>
    <xf numFmtId="4" fontId="23" fillId="11" borderId="0" xfId="4" applyNumberFormat="1" applyFont="1" applyFill="1" applyBorder="1" applyAlignment="1">
      <alignment horizontal="right" vertical="top"/>
    </xf>
    <xf numFmtId="0" fontId="23" fillId="11" borderId="0" xfId="0" quotePrefix="1" applyFont="1" applyFill="1" applyAlignment="1">
      <alignment horizontal="left" vertical="top"/>
    </xf>
    <xf numFmtId="4" fontId="23" fillId="0" borderId="0" xfId="6" applyNumberFormat="1" applyFont="1" applyAlignment="1">
      <alignment horizontal="right" vertical="top"/>
    </xf>
    <xf numFmtId="0" fontId="18" fillId="21" borderId="0" xfId="0" applyFont="1" applyFill="1"/>
    <xf numFmtId="16" fontId="23" fillId="11" borderId="5" xfId="0" applyNumberFormat="1" applyFont="1" applyFill="1" applyBorder="1" applyAlignment="1">
      <alignment horizontal="center" vertical="top"/>
    </xf>
    <xf numFmtId="0" fontId="0" fillId="0" borderId="0" xfId="0" quotePrefix="1"/>
    <xf numFmtId="0" fontId="19" fillId="21" borderId="0" xfId="0" applyFont="1" applyFill="1"/>
    <xf numFmtId="9" fontId="0" fillId="0" borderId="0" xfId="3" applyFont="1" applyBorder="1"/>
    <xf numFmtId="9" fontId="0" fillId="0" borderId="15" xfId="3" applyFont="1" applyBorder="1"/>
    <xf numFmtId="10" fontId="35" fillId="11" borderId="0" xfId="3" applyNumberFormat="1" applyFont="1" applyFill="1" applyBorder="1" applyAlignment="1">
      <alignment horizontal="right" vertical="top"/>
    </xf>
    <xf numFmtId="4" fontId="35" fillId="11" borderId="0" xfId="0" applyNumberFormat="1" applyFont="1" applyFill="1" applyAlignment="1">
      <alignment horizontal="right" vertical="top"/>
    </xf>
    <xf numFmtId="0" fontId="23" fillId="11" borderId="32" xfId="0" applyFont="1" applyFill="1" applyBorder="1" applyAlignment="1">
      <alignment horizontal="center" vertical="top"/>
    </xf>
    <xf numFmtId="171" fontId="0" fillId="0" borderId="0" xfId="0" applyNumberFormat="1"/>
    <xf numFmtId="0" fontId="0" fillId="0" borderId="30" xfId="0" applyBorder="1"/>
    <xf numFmtId="0" fontId="0" fillId="0" borderId="31" xfId="0" applyBorder="1"/>
    <xf numFmtId="0" fontId="20" fillId="10" borderId="29" xfId="0" applyFont="1" applyFill="1" applyBorder="1" applyAlignment="1">
      <alignment horizontal="left" vertical="top"/>
    </xf>
    <xf numFmtId="0" fontId="26" fillId="10" borderId="29" xfId="0" applyFont="1" applyFill="1" applyBorder="1" applyAlignment="1">
      <alignment horizontal="left" vertical="top"/>
    </xf>
    <xf numFmtId="0" fontId="26" fillId="10" borderId="0" xfId="0" applyFont="1" applyFill="1" applyAlignment="1">
      <alignment horizontal="left" vertical="top"/>
    </xf>
    <xf numFmtId="0" fontId="27" fillId="10" borderId="0" xfId="0" applyFont="1" applyFill="1" applyAlignment="1">
      <alignment horizontal="right" vertical="top"/>
    </xf>
    <xf numFmtId="0" fontId="27" fillId="10" borderId="0" xfId="0" applyFont="1" applyFill="1" applyAlignment="1">
      <alignment horizontal="center" vertical="top"/>
    </xf>
    <xf numFmtId="0" fontId="20" fillId="10" borderId="31" xfId="0" applyFont="1" applyFill="1" applyBorder="1" applyAlignment="1">
      <alignment horizontal="left" vertical="top"/>
    </xf>
    <xf numFmtId="0" fontId="27" fillId="10" borderId="31" xfId="0" applyFont="1" applyFill="1" applyBorder="1" applyAlignment="1">
      <alignment horizontal="right" vertical="top"/>
    </xf>
    <xf numFmtId="0" fontId="27" fillId="10" borderId="31" xfId="0" applyFont="1" applyFill="1" applyBorder="1" applyAlignment="1">
      <alignment horizontal="center" vertical="top"/>
    </xf>
    <xf numFmtId="0" fontId="19" fillId="13" borderId="0" xfId="0" applyFont="1" applyFill="1"/>
    <xf numFmtId="164" fontId="0" fillId="0" borderId="34" xfId="0" applyNumberFormat="1" applyBorder="1"/>
    <xf numFmtId="0" fontId="27" fillId="0" borderId="0" xfId="0" quotePrefix="1" applyFont="1" applyAlignment="1">
      <alignment horizontal="left" vertical="top"/>
    </xf>
    <xf numFmtId="0" fontId="39" fillId="0" borderId="0" xfId="0" applyFont="1" applyAlignment="1">
      <alignment horizontal="left" vertical="top"/>
    </xf>
    <xf numFmtId="164" fontId="39" fillId="0" borderId="0" xfId="0" applyNumberFormat="1" applyFont="1" applyAlignment="1">
      <alignment horizontal="right" vertical="top"/>
    </xf>
    <xf numFmtId="0" fontId="39" fillId="0" borderId="0" xfId="0" applyFont="1" applyAlignment="1">
      <alignment horizontal="right" vertical="top"/>
    </xf>
    <xf numFmtId="172" fontId="29" fillId="11" borderId="0" xfId="4" applyNumberFormat="1" applyFont="1" applyFill="1" applyBorder="1" applyAlignment="1">
      <alignment horizontal="right" vertical="top"/>
    </xf>
    <xf numFmtId="164" fontId="29" fillId="0" borderId="0" xfId="0" applyNumberFormat="1" applyFont="1" applyAlignment="1">
      <alignment horizontal="right" vertical="top"/>
    </xf>
    <xf numFmtId="0" fontId="29" fillId="11" borderId="0" xfId="0" applyFont="1" applyFill="1" applyAlignment="1">
      <alignment vertical="top" wrapText="1"/>
    </xf>
    <xf numFmtId="0" fontId="12" fillId="0" borderId="15" xfId="0" applyFont="1" applyBorder="1" applyAlignment="1">
      <alignment horizontal="center" vertical="center"/>
    </xf>
    <xf numFmtId="0" fontId="11" fillId="0" borderId="35" xfId="0" applyFont="1" applyBorder="1" applyAlignment="1">
      <alignment horizontal="center"/>
    </xf>
    <xf numFmtId="0" fontId="11" fillId="0" borderId="0" xfId="0" applyFont="1" applyAlignment="1">
      <alignment horizontal="center"/>
    </xf>
    <xf numFmtId="0" fontId="11" fillId="0" borderId="36" xfId="0" applyFont="1" applyBorder="1" applyAlignment="1">
      <alignment horizontal="center"/>
    </xf>
    <xf numFmtId="0" fontId="38" fillId="10" borderId="29" xfId="7" applyFont="1" applyFill="1" applyBorder="1" applyAlignment="1" applyProtection="1">
      <alignment horizontal="center" vertical="top" wrapText="1"/>
    </xf>
    <xf numFmtId="0" fontId="27" fillId="10" borderId="29" xfId="0" applyFont="1" applyFill="1" applyBorder="1" applyAlignment="1">
      <alignment horizontal="center" vertical="top" wrapText="1"/>
    </xf>
    <xf numFmtId="0" fontId="34" fillId="10" borderId="29" xfId="0" applyFont="1" applyFill="1" applyBorder="1" applyAlignment="1">
      <alignment horizontal="center" vertical="top" wrapText="1"/>
    </xf>
    <xf numFmtId="0" fontId="34" fillId="10" borderId="41" xfId="0" applyFont="1" applyFill="1" applyBorder="1" applyAlignment="1">
      <alignment horizontal="center" vertical="top" wrapText="1"/>
    </xf>
    <xf numFmtId="0" fontId="0" fillId="0" borderId="4" xfId="0" applyBorder="1" applyAlignment="1">
      <alignment horizontal="left" vertical="center"/>
    </xf>
    <xf numFmtId="0" fontId="0" fillId="0" borderId="0" xfId="0" applyAlignment="1">
      <alignment horizontal="left" vertical="center"/>
    </xf>
  </cellXfs>
  <cellStyles count="8">
    <cellStyle name="Comma 2" xfId="5" xr:uid="{8298D4C6-5F4C-48D0-A12C-6B6D1CC09887}"/>
    <cellStyle name="Comma 2 2" xfId="4" xr:uid="{6479975C-917E-40D0-AC12-2115ECCDE626}"/>
    <cellStyle name="Hyperlink" xfId="2" builtinId="8"/>
    <cellStyle name="Hyperlink 2" xfId="7" xr:uid="{CB49622C-A268-4C7B-95F2-8D9CEB98BD9E}"/>
    <cellStyle name="Normal" xfId="0" builtinId="0"/>
    <cellStyle name="Normal_Sheet2" xfId="6" xr:uid="{66051C10-D6EB-4E76-B24F-6DD9B63AE71E}"/>
    <cellStyle name="Percent" xfId="3" builtinId="5"/>
    <cellStyle name="Standard_Data provided by OT3" xfId="1" xr:uid="{215E3B43-91CD-458E-86C8-4125E67921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581025</xdr:colOff>
      <xdr:row>20</xdr:row>
      <xdr:rowOff>85726</xdr:rowOff>
    </xdr:from>
    <xdr:to>
      <xdr:col>3</xdr:col>
      <xdr:colOff>514350</xdr:colOff>
      <xdr:row>32</xdr:row>
      <xdr:rowOff>123826</xdr:rowOff>
    </xdr:to>
    <xdr:sp macro="" textlink="">
      <xdr:nvSpPr>
        <xdr:cNvPr id="2" name="TextBox 1">
          <a:extLst>
            <a:ext uri="{FF2B5EF4-FFF2-40B4-BE49-F238E27FC236}">
              <a16:creationId xmlns:a16="http://schemas.microsoft.com/office/drawing/2014/main" id="{5DFB148B-96C4-0D8C-0B3C-14BB44A7166C}"/>
            </a:ext>
          </a:extLst>
        </xdr:cNvPr>
        <xdr:cNvSpPr txBox="1"/>
      </xdr:nvSpPr>
      <xdr:spPr>
        <a:xfrm>
          <a:off x="581025" y="4124326"/>
          <a:ext cx="5267325" cy="2324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a:t>The commodity prices are sourced from different sources. The sources are given in the table. All prices are converted to 2024 prices by using the EC Harmonised Index of Consumer Prices (HICP): </a:t>
          </a:r>
          <a:r>
            <a:rPr lang="en-GB" sz="1100" b="0" i="0" u="none" strike="noStrike">
              <a:solidFill>
                <a:schemeClr val="dk1"/>
              </a:solidFill>
              <a:effectLst/>
              <a:latin typeface="+mn-lt"/>
              <a:ea typeface="+mn-ea"/>
              <a:cs typeface="+mn-cs"/>
            </a:rPr>
            <a:t>https://ec.europa.eu/eurostat/databrowser/view/prc_hicp_aind__custom_15900780/default/table?lang=en</a:t>
          </a:r>
          <a:r>
            <a:rPr lang="en-GB" b="0"/>
            <a:t> </a:t>
          </a:r>
        </a:p>
        <a:p>
          <a:endParaRPr lang="en-GB" b="0"/>
        </a:p>
        <a:p>
          <a:r>
            <a:rPr lang="en-GB" b="0"/>
            <a:t>A few of the prices has been calculeted:</a:t>
          </a:r>
        </a:p>
        <a:p>
          <a:endParaRPr lang="en-GB" b="0"/>
        </a:p>
        <a:p>
          <a:r>
            <a:rPr lang="en-GB" b="0"/>
            <a:t>Biomethane</a:t>
          </a:r>
        </a:p>
        <a:p>
          <a:r>
            <a:rPr lang="en-GB" b="0"/>
            <a:t>Heavy</a:t>
          </a:r>
          <a:r>
            <a:rPr lang="en-GB" b="0" baseline="0"/>
            <a:t> oil</a:t>
          </a:r>
        </a:p>
        <a:p>
          <a:r>
            <a:rPr lang="en-GB" b="0" baseline="0"/>
            <a:t>Light oil </a:t>
          </a:r>
        </a:p>
        <a:p>
          <a:r>
            <a:rPr lang="en-GB" b="0" baseline="0"/>
            <a:t>Blended gas price</a:t>
          </a:r>
          <a:endParaRPr lang="en-GB" b="0"/>
        </a:p>
        <a:p>
          <a:r>
            <a:rPr lang="da-DK" sz="1100"/>
            <a:t> </a:t>
          </a:r>
          <a:endParaRPr lang="en-B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19050</xdr:colOff>
      <xdr:row>0</xdr:row>
      <xdr:rowOff>219075</xdr:rowOff>
    </xdr:from>
    <xdr:to>
      <xdr:col>20</xdr:col>
      <xdr:colOff>67107</xdr:colOff>
      <xdr:row>17</xdr:row>
      <xdr:rowOff>73473</xdr:rowOff>
    </xdr:to>
    <xdr:pic>
      <xdr:nvPicPr>
        <xdr:cNvPr id="2" name="Picture 1">
          <a:extLst>
            <a:ext uri="{FF2B5EF4-FFF2-40B4-BE49-F238E27FC236}">
              <a16:creationId xmlns:a16="http://schemas.microsoft.com/office/drawing/2014/main" id="{EA618612-60C1-4C25-9DE7-E4B642410A8C}"/>
            </a:ext>
          </a:extLst>
        </xdr:cNvPr>
        <xdr:cNvPicPr>
          <a:picLocks noChangeAspect="1"/>
        </xdr:cNvPicPr>
      </xdr:nvPicPr>
      <xdr:blipFill>
        <a:blip xmlns:r="http://schemas.openxmlformats.org/officeDocument/2006/relationships" r:embed="rId1"/>
        <a:stretch>
          <a:fillRect/>
        </a:stretch>
      </xdr:blipFill>
      <xdr:spPr>
        <a:xfrm>
          <a:off x="11677650" y="219075"/>
          <a:ext cx="3096057" cy="3207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tsogeu.sharepoint.com/Users/maria.fernandez/Downloads/200608_Ambition%20Tool_v2.1_propsoal%20for%20input%20paramet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uzz.grid.ie/sites/FG/ESA/Temporary%20File%20Store/TYNDP%202020/PEMMDB%20Work%20in%20Progress/ERAA%20TYNDP%20and%20Scenario%20Building%20Jan%202021/IE00/PEMMDB_IE00_NationalTrends_Batteries_and_Demand.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mmon%20Reporting%20Format%20V1.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hales.entsoe.eu/sites/tyndp2018/TF%20SB%202020/Ambition%20Tool/Finalisation%20of%20Scenarios%20in%20AT/190924_Finalisation_GA_v5_editabl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ewclimate-my.sharepoint.com/Users/ymonschauer/AppData/Local/Box/Box%20Edit/Documents/HtdYOCZNg0mBeozVIHB1IQ==/CAT_GraphUploads.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ALANCE.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psanchez1\Downloads\Comodity%20prices%202026_copy.xlsx" TargetMode="External"/><Relationship Id="rId1" Type="http://schemas.openxmlformats.org/officeDocument/2006/relationships/externalLinkPath" Target="file:///C:\Users\psanchez1\Downloads\Comodity%20prices%202026_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rsion Factors"/>
      <sheetName val="Reference Year 2018 - Input"/>
      <sheetName val="1) Sector Final Use Input Sheet"/>
      <sheetName val="Industrial Demand"/>
      <sheetName val="Residential Demand"/>
      <sheetName val="New Tertiary Demand"/>
      <sheetName val="Transport"/>
      <sheetName val="EUROSTAT (2015 TWh)"/>
      <sheetName val="How to Guide"/>
      <sheetName val="Countries"/>
      <sheetName val="2)Electricity &amp; Gas input sheet"/>
      <sheetName val="4) Sankey output"/>
      <sheetName val="3) Storyline Summary"/>
      <sheetName val="Generation"/>
      <sheetName val="Gas Supply"/>
      <sheetName val="Emissions (Comparison)"/>
      <sheetName val="EU28"/>
      <sheetName val="Austria"/>
      <sheetName val="Belgium"/>
      <sheetName val="Bosnia"/>
      <sheetName val="Bulgaria"/>
      <sheetName val="Croatia"/>
      <sheetName val="Cyprus"/>
      <sheetName val="CzechRepublic"/>
      <sheetName val="Denmark"/>
      <sheetName val="Estonia"/>
      <sheetName val="Finland"/>
      <sheetName val="France"/>
      <sheetName val="FYROM"/>
      <sheetName val="Germany"/>
      <sheetName val="Greece"/>
      <sheetName val="Hungary"/>
      <sheetName val="Iceland"/>
      <sheetName val="Ireland"/>
      <sheetName val="Italy"/>
      <sheetName val="Kosovo"/>
      <sheetName val="Latvia"/>
      <sheetName val="Lithuania"/>
      <sheetName val="Luxembourg"/>
      <sheetName val="Malta"/>
      <sheetName val="Moldova"/>
      <sheetName val="Montenegro"/>
      <sheetName val="Netherlands"/>
      <sheetName val="NorthernIreland"/>
      <sheetName val="Norway"/>
      <sheetName val="Poland"/>
      <sheetName val="Portugal"/>
      <sheetName val="Romania"/>
      <sheetName val="Serbia"/>
      <sheetName val="Slovakia"/>
      <sheetName val="Slovenia"/>
      <sheetName val="Spain"/>
      <sheetName val="Sweden"/>
      <sheetName val="Turkey"/>
      <sheetName val="Ukraine"/>
      <sheetName val="UnitedKing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values"/>
      <sheetName val="ZoneList"/>
      <sheetName val="Common Data"/>
      <sheetName val="Info &amp; General"/>
      <sheetName val="MarketNodeSummary"/>
      <sheetName val="Demand"/>
      <sheetName val="Batteries"/>
      <sheetName val="DSR"/>
      <sheetName val="Trajectories Demand Flexibility"/>
      <sheetName val="Trajectory Technologi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arbon Budget"/>
      <sheetName val="SUPPLY"/>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s_Summary"/>
      <sheetName val="TOTAL"/>
      <sheetName val="2)Electricity &amp; Gas input sheet"/>
      <sheetName val="SUPPLY"/>
      <sheetName val="GENERATION"/>
      <sheetName val="Conversion Factors"/>
      <sheetName val="EUROSTAT (2015 TWh)"/>
      <sheetName val="EU28"/>
      <sheetName val="Estonia"/>
      <sheetName val="Finland"/>
      <sheetName val="Latvia"/>
      <sheetName val="Lithuania"/>
      <sheetName val="Sweden"/>
      <sheetName val="Croatia"/>
      <sheetName val="Czechia"/>
      <sheetName val="Germany"/>
      <sheetName val="Hungary"/>
      <sheetName val="Poland"/>
      <sheetName val="Slovakia"/>
      <sheetName val="Italy"/>
      <sheetName val="Austria"/>
      <sheetName val="Malta"/>
      <sheetName val="Slovenia"/>
      <sheetName val="Bulgaria"/>
      <sheetName val="Cyprus"/>
      <sheetName val="Greece"/>
      <sheetName val="Romania"/>
      <sheetName val="France"/>
      <sheetName val="Portugal"/>
      <sheetName val="Spain"/>
      <sheetName val="Belgium"/>
      <sheetName val="Ireland"/>
      <sheetName val="Denmark"/>
      <sheetName val="Luxembourg"/>
      <sheetName val="United Kingdom"/>
      <sheetName val="Netherlands"/>
      <sheetName val="Generation_EE"/>
      <sheetName val="Generation_FI"/>
      <sheetName val="Generation_LV"/>
      <sheetName val="Generation_LT"/>
      <sheetName val="Generation_SE"/>
      <sheetName val="Generation_HR"/>
      <sheetName val="Generation_CZ"/>
      <sheetName val="Generation_DE"/>
      <sheetName val="Generation_HU"/>
      <sheetName val="Generation_PL"/>
      <sheetName val="Generation_SK"/>
      <sheetName val="Generation_IT"/>
      <sheetName val="Generation_AT"/>
      <sheetName val="Generation_MT"/>
      <sheetName val="Generation_SI"/>
      <sheetName val="Generation_BG"/>
      <sheetName val="Generation_CY"/>
      <sheetName val="Generation_GR"/>
      <sheetName val="Generation_RO"/>
      <sheetName val="Generation_FR"/>
      <sheetName val="Generation_PT"/>
      <sheetName val="Generation_ES"/>
      <sheetName val="Generation_BE"/>
      <sheetName val="Generation_IE"/>
      <sheetName val="Generation_DK"/>
      <sheetName val="Generation_LU"/>
      <sheetName val="Generation_UK"/>
      <sheetName val="Generation_NL"/>
      <sheetName val="Supply_EE"/>
      <sheetName val="Supply_FI"/>
      <sheetName val="Supply_LV"/>
      <sheetName val="Supply_LT"/>
      <sheetName val="Supply_SE"/>
      <sheetName val="Supply_HR"/>
      <sheetName val="Supply_CZ"/>
      <sheetName val="Supply_DE"/>
      <sheetName val="Supply_HU"/>
      <sheetName val="Supply_PL"/>
      <sheetName val="Supply_SK"/>
      <sheetName val="Supply_IT"/>
      <sheetName val="Supply_AT"/>
      <sheetName val="Supply_MT"/>
      <sheetName val="Supply_SI"/>
      <sheetName val="Supply_BG"/>
      <sheetName val="Supply_CY"/>
      <sheetName val="Supply_GR"/>
      <sheetName val="Supply_RO"/>
      <sheetName val="Supply_FR"/>
      <sheetName val="Supply_PT"/>
      <sheetName val="Supply_ES"/>
      <sheetName val="Supply_BE"/>
      <sheetName val="Supply_IE"/>
      <sheetName val="Supply_DK"/>
      <sheetName val="Supply_LU"/>
      <sheetName val="Supply_UK"/>
      <sheetName val="Supply_NL"/>
      <sheetName val="190924_Finalisation_GA_v5_edi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Process"/>
      <sheetName val="Input_Tool"/>
      <sheetName val="Input_EffortSharing"/>
      <sheetName val="Mapping"/>
      <sheetName val="Table_NotRounded"/>
      <sheetName val="Output_ForGraphUpload"/>
      <sheetName val="Output_ForAsssementData"/>
      <sheetName val="Output_ForESData"/>
      <sheetName val="Admin"/>
      <sheetName val="Styl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arbon Budget"/>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6 TYNDP"/>
      <sheetName val="TYNDP 2026 vs 2024"/>
      <sheetName val="Biomethane"/>
      <sheetName val="Synthetic methane"/>
      <sheetName val="Gasblend"/>
      <sheetName val="Fuel prices IEA 2024"/>
      <sheetName val="JRC"/>
      <sheetName val="Comparison"/>
      <sheetName val="Nuclear"/>
      <sheetName val="Hydrogen"/>
      <sheetName val="For EC"/>
      <sheetName val="Fuel prices IEA 2023"/>
      <sheetName val="Economic variants"/>
      <sheetName val="HICP"/>
      <sheetName val="Lignite"/>
    </sheetNames>
    <sheetDataSet>
      <sheetData sheetId="0">
        <row r="11">
          <cell r="D11">
            <v>9.2340241110000001</v>
          </cell>
          <cell r="E11">
            <v>10.362627057900001</v>
          </cell>
          <cell r="F11">
            <v>9.8496257184000005</v>
          </cell>
        </row>
        <row r="14">
          <cell r="D14">
            <v>13.872808154323543</v>
          </cell>
          <cell r="E14">
            <v>14.113732196485667</v>
          </cell>
          <cell r="F14">
            <v>13.880700022548249</v>
          </cell>
        </row>
        <row r="15">
          <cell r="D15">
            <v>32.828934105408003</v>
          </cell>
          <cell r="E15">
            <v>29.776243586460005</v>
          </cell>
          <cell r="F15">
            <v>28.024699846080001</v>
          </cell>
        </row>
      </sheetData>
      <sheetData sheetId="1"/>
      <sheetData sheetId="2"/>
      <sheetData sheetId="3"/>
      <sheetData sheetId="4"/>
      <sheetData sheetId="5"/>
      <sheetData sheetId="6"/>
      <sheetData sheetId="7"/>
      <sheetData sheetId="8"/>
      <sheetData sheetId="9"/>
      <sheetData sheetId="10"/>
      <sheetData sheetId="11"/>
      <sheetData sheetId="12"/>
      <sheetData sheetId="13">
        <row r="15">
          <cell r="B15">
            <v>1.226082863</v>
          </cell>
        </row>
        <row r="24">
          <cell r="C24">
            <v>100</v>
          </cell>
        </row>
        <row r="31">
          <cell r="C31">
            <v>119.32</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file:///C:\Users\AlexandraKiss\AppData\Local\Temp\Consultation%20Package%20-%20for%20approval\Supply%20part\Commodity%20prices%20proposal%20for%20public%20consultation.pptx%3fweb=1" TargetMode="External"/><Relationship Id="rId2" Type="http://schemas.openxmlformats.org/officeDocument/2006/relationships/hyperlink" Target="file:///C:\Users\AlexandraKiss\AppData\Local\Temp\Consultation%20Package%20-%20for%20approval\Supply%20part\Commodity%20prices%20proposal%20for%20public%20consultation.pptx%3fweb=1" TargetMode="External"/><Relationship Id="rId1" Type="http://schemas.openxmlformats.org/officeDocument/2006/relationships/hyperlink" Target="file:///C:\:p:\r\sites\ExternalCollaboration\_layouts\15\Doc.aspx%3fsourcedoc=%7b0E278FF4-445B-4B83-A775-1F6484DC6BAA%7d&amp;file=2025-05-13%20WGSB%20-%20supply%20team.pptx&amp;action=edit&amp;mobileredirect=true&amp;previoussessionid=ac1c5522-92b5-e49e-ccdc-1f35b965436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B2B4-85DB-4C9C-A3AF-960C16BAF480}">
  <dimension ref="B1:G19"/>
  <sheetViews>
    <sheetView workbookViewId="0">
      <selection activeCell="E27" sqref="E27"/>
    </sheetView>
  </sheetViews>
  <sheetFormatPr defaultRowHeight="15" x14ac:dyDescent="0.25"/>
  <cols>
    <col min="2" max="2" width="37.28515625" customWidth="1"/>
    <col min="3" max="6" width="33.5703125" customWidth="1"/>
    <col min="7" max="7" width="71.7109375" customWidth="1"/>
  </cols>
  <sheetData>
    <row r="1" spans="2:7" ht="15.75" thickBot="1" x14ac:dyDescent="0.3"/>
    <row r="2" spans="2:7" ht="21" x14ac:dyDescent="0.35">
      <c r="B2" s="4" t="s">
        <v>0</v>
      </c>
      <c r="C2" s="5" t="s">
        <v>1</v>
      </c>
      <c r="D2" s="6"/>
      <c r="E2" s="6"/>
      <c r="F2" s="6"/>
      <c r="G2" s="7"/>
    </row>
    <row r="3" spans="2:7" x14ac:dyDescent="0.25">
      <c r="B3" s="8"/>
      <c r="C3" s="9"/>
      <c r="D3" s="9"/>
      <c r="E3" s="9"/>
      <c r="F3" s="9"/>
      <c r="G3" s="10"/>
    </row>
    <row r="4" spans="2:7" x14ac:dyDescent="0.25">
      <c r="B4" s="11" t="s">
        <v>2</v>
      </c>
      <c r="C4" s="12" t="s">
        <v>3</v>
      </c>
      <c r="D4" s="13">
        <v>2030</v>
      </c>
      <c r="E4" s="13">
        <v>2040</v>
      </c>
      <c r="F4" s="13">
        <v>2050</v>
      </c>
      <c r="G4" s="14" t="s">
        <v>4</v>
      </c>
    </row>
    <row r="5" spans="2:7" ht="15.75" customHeight="1" x14ac:dyDescent="0.25">
      <c r="B5" s="15" t="s">
        <v>5</v>
      </c>
      <c r="C5" s="16" t="s">
        <v>6</v>
      </c>
      <c r="D5" s="17">
        <v>0.60774504383566097</v>
      </c>
      <c r="E5" s="17">
        <v>0.60774504383566097</v>
      </c>
      <c r="F5" s="17">
        <v>0.60774504383566097</v>
      </c>
      <c r="G5" s="1" t="s">
        <v>7</v>
      </c>
    </row>
    <row r="6" spans="2:7" ht="15.75" customHeight="1" x14ac:dyDescent="0.25">
      <c r="B6" s="18" t="s">
        <v>8</v>
      </c>
      <c r="C6" s="19" t="s">
        <v>6</v>
      </c>
      <c r="D6" s="20">
        <v>1.8590046910055069</v>
      </c>
      <c r="E6" s="20">
        <v>1.8590046910055069</v>
      </c>
      <c r="F6" s="20">
        <v>1.8590046910055069</v>
      </c>
      <c r="G6" s="21" t="s">
        <v>9</v>
      </c>
    </row>
    <row r="7" spans="2:7" ht="15.75" customHeight="1" x14ac:dyDescent="0.25">
      <c r="B7" s="29" t="s">
        <v>10</v>
      </c>
      <c r="C7" s="23" t="s">
        <v>6</v>
      </c>
      <c r="D7" s="17">
        <v>2.3901488884356521</v>
      </c>
      <c r="E7" s="17">
        <v>2.3901488884356521</v>
      </c>
      <c r="F7" s="17">
        <v>2.3901488884356521</v>
      </c>
      <c r="G7" s="2" t="s">
        <v>9</v>
      </c>
    </row>
    <row r="8" spans="2:7" ht="15.75" customHeight="1" x14ac:dyDescent="0.25">
      <c r="B8" s="18" t="s">
        <v>11</v>
      </c>
      <c r="C8" s="19" t="s">
        <v>6</v>
      </c>
      <c r="D8" s="20">
        <v>3.1470293697736085</v>
      </c>
      <c r="E8" s="20">
        <v>3.1470293697736085</v>
      </c>
      <c r="F8" s="20">
        <v>3.1470293697736085</v>
      </c>
      <c r="G8" s="21" t="s">
        <v>9</v>
      </c>
    </row>
    <row r="9" spans="2:7" ht="15.75" customHeight="1" x14ac:dyDescent="0.25">
      <c r="B9" s="24" t="s">
        <v>12</v>
      </c>
      <c r="C9" s="23" t="s">
        <v>6</v>
      </c>
      <c r="D9" s="25">
        <v>4.1163675300836227</v>
      </c>
      <c r="E9" s="25">
        <v>4.1163675300836227</v>
      </c>
      <c r="F9" s="25">
        <v>4.1163675300836227</v>
      </c>
      <c r="G9" s="2" t="s">
        <v>9</v>
      </c>
    </row>
    <row r="10" spans="2:7" ht="15.75" customHeight="1" x14ac:dyDescent="0.25">
      <c r="B10" s="18" t="s">
        <v>13</v>
      </c>
      <c r="C10" s="19" t="s">
        <v>6</v>
      </c>
      <c r="D10" s="20">
        <v>4.1040107160000003</v>
      </c>
      <c r="E10" s="20">
        <v>3.8988101801999999</v>
      </c>
      <c r="F10" s="20">
        <v>4.1040107160000003</v>
      </c>
      <c r="G10" s="21" t="s">
        <v>14</v>
      </c>
    </row>
    <row r="11" spans="2:7" ht="15.75" customHeight="1" x14ac:dyDescent="0.25">
      <c r="B11" s="15" t="s">
        <v>15</v>
      </c>
      <c r="C11" s="16" t="s">
        <v>6</v>
      </c>
      <c r="D11" s="17">
        <v>9.2340241110000001</v>
      </c>
      <c r="E11" s="17">
        <v>10.362627057900001</v>
      </c>
      <c r="F11" s="17">
        <v>9.8496257184000005</v>
      </c>
      <c r="G11" s="1" t="s">
        <v>14</v>
      </c>
    </row>
    <row r="12" spans="2:7" ht="15.75" customHeight="1" x14ac:dyDescent="0.25">
      <c r="B12" s="18" t="s">
        <v>16</v>
      </c>
      <c r="C12" s="19" t="s">
        <v>6</v>
      </c>
      <c r="D12" s="20">
        <v>14.261437238100001</v>
      </c>
      <c r="E12" s="20">
        <v>16.210842328200002</v>
      </c>
      <c r="F12" s="20">
        <v>20.212252776300001</v>
      </c>
      <c r="G12" s="21" t="s">
        <v>14</v>
      </c>
    </row>
    <row r="13" spans="2:7" ht="15.75" customHeight="1" x14ac:dyDescent="0.25">
      <c r="B13" s="22" t="s">
        <v>17</v>
      </c>
      <c r="C13" s="23" t="s">
        <v>18</v>
      </c>
      <c r="D13" s="25">
        <v>97.470254505000014</v>
      </c>
      <c r="E13" s="25">
        <v>297.54077691000003</v>
      </c>
      <c r="F13" s="25">
        <v>502.74131271000005</v>
      </c>
      <c r="G13" s="2" t="s">
        <v>19</v>
      </c>
    </row>
    <row r="14" spans="2:7" ht="15.75" customHeight="1" x14ac:dyDescent="0.25">
      <c r="B14" s="18" t="s">
        <v>20</v>
      </c>
      <c r="C14" s="19" t="s">
        <v>21</v>
      </c>
      <c r="D14" s="20">
        <v>13.872808154323543</v>
      </c>
      <c r="E14" s="20">
        <v>14.113732196485667</v>
      </c>
      <c r="F14" s="20">
        <v>13.880700022548249</v>
      </c>
      <c r="G14" s="21" t="s">
        <v>22</v>
      </c>
    </row>
    <row r="15" spans="2:7" ht="15.75" customHeight="1" x14ac:dyDescent="0.25">
      <c r="B15" s="15" t="s">
        <v>23</v>
      </c>
      <c r="C15" s="16" t="s">
        <v>21</v>
      </c>
      <c r="D15" s="17">
        <v>32.828934105408003</v>
      </c>
      <c r="E15" s="17">
        <v>29.776243586460005</v>
      </c>
      <c r="F15" s="17">
        <v>28.024699846080001</v>
      </c>
      <c r="G15" s="1" t="s">
        <v>24</v>
      </c>
    </row>
    <row r="16" spans="2:7" ht="15.75" customHeight="1" x14ac:dyDescent="0.25">
      <c r="B16" s="18" t="s">
        <v>25</v>
      </c>
      <c r="C16" s="19" t="s">
        <v>6</v>
      </c>
      <c r="D16" s="20">
        <v>18.254639664768003</v>
      </c>
      <c r="E16" s="20">
        <v>20.749878180096001</v>
      </c>
      <c r="F16" s="20">
        <v>25.871683553664003</v>
      </c>
      <c r="G16" s="21" t="s">
        <v>26</v>
      </c>
    </row>
    <row r="17" spans="2:7" ht="15.75" customHeight="1" x14ac:dyDescent="0.25">
      <c r="B17" s="22" t="s">
        <v>27</v>
      </c>
      <c r="C17" s="23" t="s">
        <v>6</v>
      </c>
      <c r="D17" s="25">
        <v>14.974509100005001</v>
      </c>
      <c r="E17" s="25">
        <v>17.02138444461</v>
      </c>
      <c r="F17" s="25">
        <v>21.222865415114999</v>
      </c>
      <c r="G17" s="2" t="s">
        <v>28</v>
      </c>
    </row>
    <row r="18" spans="2:7" ht="15.75" customHeight="1" x14ac:dyDescent="0.25">
      <c r="B18" s="18" t="s">
        <v>29</v>
      </c>
      <c r="C18" s="19" t="s">
        <v>6</v>
      </c>
      <c r="D18" s="20">
        <v>2.2805141251800003</v>
      </c>
      <c r="E18" s="20">
        <v>3.3226845587300002</v>
      </c>
      <c r="F18" s="20">
        <v>4.8185056515900007</v>
      </c>
      <c r="G18" s="21" t="s">
        <v>30</v>
      </c>
    </row>
    <row r="19" spans="2:7" ht="15.75" customHeight="1" thickBot="1" x14ac:dyDescent="0.3">
      <c r="B19" s="26" t="s">
        <v>31</v>
      </c>
      <c r="C19" s="27" t="s">
        <v>21</v>
      </c>
      <c r="D19" s="28">
        <v>9.6153130807279386</v>
      </c>
      <c r="E19" s="28">
        <v>11.471630382574579</v>
      </c>
      <c r="F19" s="28">
        <v>13.310277736268354</v>
      </c>
      <c r="G19" s="3" t="s">
        <v>32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D5AE-D67D-4CFA-AE64-4BEC33EDA866}">
  <dimension ref="A1:N12"/>
  <sheetViews>
    <sheetView topLeftCell="K1" workbookViewId="0">
      <selection activeCell="L18" sqref="L18"/>
    </sheetView>
  </sheetViews>
  <sheetFormatPr defaultRowHeight="15" x14ac:dyDescent="0.25"/>
  <cols>
    <col min="1" max="1" width="18.85546875" bestFit="1" customWidth="1"/>
    <col min="2" max="2" width="9" bestFit="1" customWidth="1"/>
    <col min="3" max="3" width="12" bestFit="1" customWidth="1"/>
    <col min="4" max="4" width="9.28515625" bestFit="1" customWidth="1"/>
    <col min="6" max="6" width="18.85546875" bestFit="1" customWidth="1"/>
    <col min="7" max="7" width="9" bestFit="1" customWidth="1"/>
    <col min="8" max="8" width="12" bestFit="1" customWidth="1"/>
    <col min="9" max="9" width="9.28515625" bestFit="1" customWidth="1"/>
    <col min="11" max="11" width="18.85546875" bestFit="1" customWidth="1"/>
    <col min="12" max="12" width="9" bestFit="1" customWidth="1"/>
    <col min="13" max="13" width="12" bestFit="1" customWidth="1"/>
    <col min="14" max="14" width="9.28515625" bestFit="1" customWidth="1"/>
  </cols>
  <sheetData>
    <row r="1" spans="1:14" ht="24" x14ac:dyDescent="0.25">
      <c r="A1" s="245" t="s">
        <v>33</v>
      </c>
      <c r="B1" s="245"/>
      <c r="C1" s="245"/>
      <c r="D1" s="245"/>
      <c r="F1" s="245" t="s">
        <v>34</v>
      </c>
      <c r="G1" s="245"/>
      <c r="H1" s="245"/>
      <c r="I1" s="245"/>
      <c r="K1" s="245" t="s">
        <v>35</v>
      </c>
      <c r="L1" s="245"/>
      <c r="M1" s="245"/>
      <c r="N1" s="245"/>
    </row>
    <row r="2" spans="1:14" x14ac:dyDescent="0.25">
      <c r="A2" s="30" t="s">
        <v>36</v>
      </c>
      <c r="B2" s="30" t="s">
        <v>37</v>
      </c>
      <c r="C2" s="30" t="s">
        <v>38</v>
      </c>
      <c r="D2" s="30" t="s">
        <v>39</v>
      </c>
      <c r="F2" s="30" t="s">
        <v>36</v>
      </c>
      <c r="G2" s="30" t="s">
        <v>37</v>
      </c>
      <c r="H2" s="30" t="s">
        <v>38</v>
      </c>
      <c r="I2" s="30" t="s">
        <v>39</v>
      </c>
      <c r="K2" s="30" t="s">
        <v>36</v>
      </c>
      <c r="L2" s="30" t="s">
        <v>37</v>
      </c>
      <c r="M2" s="30" t="s">
        <v>38</v>
      </c>
      <c r="N2" s="30" t="s">
        <v>39</v>
      </c>
    </row>
    <row r="3" spans="1:14" x14ac:dyDescent="0.25">
      <c r="A3" s="31" t="s">
        <v>17</v>
      </c>
      <c r="B3" s="31">
        <v>97.5</v>
      </c>
      <c r="C3" s="31">
        <v>97.5</v>
      </c>
      <c r="D3" s="32" t="s">
        <v>18</v>
      </c>
      <c r="F3" s="31" t="s">
        <v>17</v>
      </c>
      <c r="G3" s="31">
        <v>297.5</v>
      </c>
      <c r="H3" s="31">
        <v>297.5</v>
      </c>
      <c r="I3" s="32" t="s">
        <v>18</v>
      </c>
      <c r="K3" s="31" t="s">
        <v>17</v>
      </c>
      <c r="L3" s="31">
        <v>502.7</v>
      </c>
      <c r="M3" s="31">
        <v>502.7</v>
      </c>
      <c r="N3" s="32" t="s">
        <v>18</v>
      </c>
    </row>
    <row r="4" spans="1:14" x14ac:dyDescent="0.25">
      <c r="A4" s="31" t="s">
        <v>40</v>
      </c>
      <c r="B4" s="31">
        <v>5.2439999999999998</v>
      </c>
      <c r="C4" s="31">
        <v>52.44</v>
      </c>
      <c r="D4" s="32" t="s">
        <v>41</v>
      </c>
      <c r="F4" s="31" t="s">
        <v>40</v>
      </c>
      <c r="G4" s="31">
        <v>4.1040000000000001</v>
      </c>
      <c r="H4" s="31">
        <v>41.04</v>
      </c>
      <c r="I4" s="32" t="s">
        <v>41</v>
      </c>
      <c r="K4" s="31" t="s">
        <v>40</v>
      </c>
      <c r="L4" s="31">
        <v>1.5389999999999999</v>
      </c>
      <c r="M4" s="31">
        <v>15.39</v>
      </c>
      <c r="N4" s="32" t="s">
        <v>41</v>
      </c>
    </row>
    <row r="5" spans="1:14" x14ac:dyDescent="0.25">
      <c r="A5" s="31" t="s">
        <v>42</v>
      </c>
      <c r="B5" s="31">
        <v>9.6</v>
      </c>
      <c r="C5" s="31">
        <v>9.6</v>
      </c>
      <c r="D5" s="32" t="s">
        <v>43</v>
      </c>
      <c r="F5" s="31" t="s">
        <v>42</v>
      </c>
      <c r="G5" s="31">
        <v>11.6</v>
      </c>
      <c r="H5" s="31">
        <v>11.6</v>
      </c>
      <c r="I5" s="32" t="s">
        <v>43</v>
      </c>
      <c r="K5" s="31" t="s">
        <v>42</v>
      </c>
      <c r="L5" s="31">
        <v>13.3</v>
      </c>
      <c r="M5" s="31">
        <v>13.3</v>
      </c>
      <c r="N5" s="32" t="s">
        <v>43</v>
      </c>
    </row>
    <row r="6" spans="1:14" x14ac:dyDescent="0.25">
      <c r="A6" s="31" t="s">
        <v>44</v>
      </c>
      <c r="B6" s="33">
        <v>0.69450000000000001</v>
      </c>
      <c r="C6" s="33">
        <v>0.76</v>
      </c>
      <c r="D6" s="32" t="s">
        <v>45</v>
      </c>
      <c r="F6" s="31" t="s">
        <v>44</v>
      </c>
      <c r="G6" s="33">
        <v>0.69450000000000001</v>
      </c>
      <c r="H6" s="33">
        <v>0.76</v>
      </c>
      <c r="I6" s="32" t="s">
        <v>45</v>
      </c>
      <c r="K6" s="31" t="s">
        <v>44</v>
      </c>
      <c r="L6" s="33">
        <v>0.69450000000000001</v>
      </c>
      <c r="M6" s="33">
        <v>0.76</v>
      </c>
      <c r="N6" s="32" t="s">
        <v>45</v>
      </c>
    </row>
    <row r="7" spans="1:14" x14ac:dyDescent="0.25">
      <c r="A7" s="31" t="s">
        <v>46</v>
      </c>
      <c r="B7" s="31">
        <v>4.47</v>
      </c>
      <c r="C7" s="31">
        <v>3.33</v>
      </c>
      <c r="D7" s="32" t="s">
        <v>47</v>
      </c>
      <c r="F7" s="31" t="s">
        <v>46</v>
      </c>
      <c r="G7" s="31">
        <v>4.47</v>
      </c>
      <c r="H7" s="31">
        <v>3.33</v>
      </c>
      <c r="I7" s="32" t="s">
        <v>47</v>
      </c>
      <c r="K7" s="31" t="s">
        <v>46</v>
      </c>
      <c r="L7" s="31">
        <v>4.47</v>
      </c>
      <c r="M7" s="31">
        <v>3.33</v>
      </c>
      <c r="N7" s="32" t="s">
        <v>47</v>
      </c>
    </row>
    <row r="8" spans="1:14" x14ac:dyDescent="0.25">
      <c r="A8" s="31" t="s">
        <v>48</v>
      </c>
      <c r="B8" s="34">
        <f>(B3*B4/1000+B5)*3.6/B6+B7</f>
        <v>56.8827343412527</v>
      </c>
      <c r="C8" s="34">
        <f>(C3*C4/1000+C5)*3.6/C6+C7</f>
        <v>73.022684210526307</v>
      </c>
      <c r="D8" s="32" t="s">
        <v>47</v>
      </c>
      <c r="F8" s="31" t="s">
        <v>48</v>
      </c>
      <c r="G8" s="34">
        <f>(G3*G4/1000+G5)*3.6/G6+G7</f>
        <v>70.928436285097192</v>
      </c>
      <c r="H8" s="34">
        <f>(H3*H4/1000+H5)*3.6/H6+H7</f>
        <v>116.11136842105263</v>
      </c>
      <c r="I8" s="32" t="s">
        <v>47</v>
      </c>
      <c r="K8" s="31" t="s">
        <v>48</v>
      </c>
      <c r="L8" s="34">
        <f>(L3*L4/1000+L5)*3.6/L6+L7</f>
        <v>77.421992915766737</v>
      </c>
      <c r="M8" s="34">
        <f>(M3*M4/1000+M5)*3.6/M6+M7</f>
        <v>102.97683000000001</v>
      </c>
      <c r="N8" s="32" t="s">
        <v>47</v>
      </c>
    </row>
    <row r="12" spans="1:14" x14ac:dyDescent="0.25">
      <c r="A12" t="s">
        <v>49</v>
      </c>
      <c r="C12">
        <f>0.92*57</f>
        <v>52.440000000000005</v>
      </c>
      <c r="F12" t="s">
        <v>49</v>
      </c>
      <c r="H12">
        <f>0.72*57</f>
        <v>41.04</v>
      </c>
      <c r="K12" t="s">
        <v>49</v>
      </c>
      <c r="M12">
        <f>0.27*57</f>
        <v>15.39</v>
      </c>
    </row>
  </sheetData>
  <mergeCells count="3">
    <mergeCell ref="A1:D1"/>
    <mergeCell ref="F1:I1"/>
    <mergeCell ref="K1:N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54E0-3AB3-404E-9183-E677ADBE25E9}">
  <dimension ref="A1:C6"/>
  <sheetViews>
    <sheetView workbookViewId="0">
      <selection activeCell="B15" sqref="B15"/>
    </sheetView>
  </sheetViews>
  <sheetFormatPr defaultRowHeight="15" x14ac:dyDescent="0.25"/>
  <cols>
    <col min="1" max="1" width="18.5703125" bestFit="1" customWidth="1"/>
    <col min="2" max="2" width="255.5703125" bestFit="1" customWidth="1"/>
    <col min="3" max="3" width="106.5703125" customWidth="1"/>
  </cols>
  <sheetData>
    <row r="1" spans="1:3" ht="15.75" thickBot="1" x14ac:dyDescent="0.3">
      <c r="A1" s="35" t="s">
        <v>50</v>
      </c>
      <c r="B1" s="36" t="s">
        <v>51</v>
      </c>
      <c r="C1" s="37" t="s">
        <v>52</v>
      </c>
    </row>
    <row r="2" spans="1:3" x14ac:dyDescent="0.25">
      <c r="A2" s="38" t="s">
        <v>17</v>
      </c>
      <c r="B2" s="39" t="s">
        <v>53</v>
      </c>
      <c r="C2" s="40"/>
    </row>
    <row r="3" spans="1:3" x14ac:dyDescent="0.25">
      <c r="A3" s="41" t="s">
        <v>40</v>
      </c>
      <c r="B3" s="42" t="s">
        <v>54</v>
      </c>
      <c r="C3" s="43"/>
    </row>
    <row r="4" spans="1:3" x14ac:dyDescent="0.25">
      <c r="A4" s="41" t="s">
        <v>42</v>
      </c>
      <c r="B4" s="42" t="s">
        <v>53</v>
      </c>
      <c r="C4" s="43"/>
    </row>
    <row r="5" spans="1:3" ht="45" x14ac:dyDescent="0.25">
      <c r="A5" s="41" t="s">
        <v>44</v>
      </c>
      <c r="B5" s="44" t="s">
        <v>55</v>
      </c>
      <c r="C5" s="45" t="s">
        <v>56</v>
      </c>
    </row>
    <row r="6" spans="1:3" ht="15.75" thickBot="1" x14ac:dyDescent="0.3">
      <c r="A6" s="46" t="s">
        <v>46</v>
      </c>
      <c r="B6" s="47" t="s">
        <v>55</v>
      </c>
      <c r="C6" s="48"/>
    </row>
  </sheetData>
  <hyperlinks>
    <hyperlink ref="B3" r:id="rId1" display="https://entsogeu.sharepoint.com/:p:/r/sites/ExternalCollaboration/_layouts/15/Doc.aspx?sourcedoc=%7B0E278FF4-445B-4B83-A775-1F6484DC6BAA%7D&amp;file=2025-05-13%20WGSB%20-%20supply%20team.pptx&amp;action=edit&amp;mobileredirect=true&amp;previoussessionid=ac1c5522-92b5-e49e-ccdc-1f35b965436c" xr:uid="{8F5094DD-9FBB-4ECD-9BD0-0262508FA682}"/>
    <hyperlink ref="B2" r:id="rId2" xr:uid="{1017F446-B53D-4F1B-A4BF-8213B6D2E76D}"/>
    <hyperlink ref="B4" r:id="rId3" xr:uid="{A25DF91F-8FC8-4620-814D-37725F781A0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BB67-A04F-49F4-A8D1-C0FD051A6364}">
  <dimension ref="C3:Q33"/>
  <sheetViews>
    <sheetView showGridLines="0" tabSelected="1" topLeftCell="B1" workbookViewId="0">
      <selection activeCell="J23" sqref="J23"/>
    </sheetView>
  </sheetViews>
  <sheetFormatPr defaultColWidth="8.7109375" defaultRowHeight="15" x14ac:dyDescent="0.25"/>
  <cols>
    <col min="3" max="3" width="24" bestFit="1" customWidth="1"/>
    <col min="11" max="12" width="16.7109375" customWidth="1"/>
    <col min="13" max="13" width="25" bestFit="1" customWidth="1"/>
    <col min="14" max="14" width="16.7109375" customWidth="1"/>
    <col min="15" max="17" width="15.140625" customWidth="1"/>
    <col min="22" max="22" width="24.140625" bestFit="1" customWidth="1"/>
    <col min="26" max="26" width="39.28515625" bestFit="1" customWidth="1"/>
  </cols>
  <sheetData>
    <row r="3" spans="3:17" ht="15" customHeight="1" x14ac:dyDescent="0.25">
      <c r="C3" s="84" t="s">
        <v>57</v>
      </c>
      <c r="D3" s="84"/>
      <c r="E3" s="84"/>
      <c r="F3" s="84"/>
      <c r="J3" s="85" t="s">
        <v>58</v>
      </c>
      <c r="K3" s="85"/>
      <c r="L3" s="85"/>
      <c r="M3" s="85"/>
      <c r="N3" s="85"/>
      <c r="O3" s="85"/>
      <c r="P3" s="85"/>
      <c r="Q3" s="85"/>
    </row>
    <row r="4" spans="3:17" x14ac:dyDescent="0.25">
      <c r="C4" s="86"/>
      <c r="D4" s="86"/>
      <c r="E4" s="86"/>
      <c r="F4" s="86"/>
    </row>
    <row r="5" spans="3:17" x14ac:dyDescent="0.25">
      <c r="C5" s="79" t="s">
        <v>59</v>
      </c>
      <c r="D5" s="79">
        <v>2030</v>
      </c>
      <c r="E5" s="79">
        <v>2040</v>
      </c>
      <c r="F5" s="79">
        <v>2050</v>
      </c>
      <c r="K5" s="246" t="s">
        <v>60</v>
      </c>
      <c r="L5" s="247"/>
      <c r="M5" s="247"/>
      <c r="N5" s="248"/>
      <c r="O5" s="247" t="s">
        <v>61</v>
      </c>
      <c r="P5" s="247"/>
      <c r="Q5" s="247"/>
    </row>
    <row r="6" spans="3:17" ht="15" customHeight="1" x14ac:dyDescent="0.25">
      <c r="C6" s="86" t="s">
        <v>62</v>
      </c>
      <c r="D6" s="87">
        <f>Q7</f>
        <v>2917.506323891248</v>
      </c>
      <c r="E6" s="87">
        <f>Q8</f>
        <v>1624.7241612270363</v>
      </c>
      <c r="F6" s="87">
        <f>Q9</f>
        <v>308.39814579513404</v>
      </c>
      <c r="J6" t="s">
        <v>63</v>
      </c>
      <c r="K6" s="81" t="s">
        <v>64</v>
      </c>
      <c r="L6" s="80" t="s">
        <v>65</v>
      </c>
      <c r="M6" s="80" t="s">
        <v>66</v>
      </c>
      <c r="N6" s="82" t="s">
        <v>67</v>
      </c>
      <c r="O6" t="s">
        <v>68</v>
      </c>
      <c r="P6" t="s">
        <v>69</v>
      </c>
      <c r="Q6" t="s">
        <v>62</v>
      </c>
    </row>
    <row r="7" spans="3:17" x14ac:dyDescent="0.25">
      <c r="C7" s="86" t="s">
        <v>20</v>
      </c>
      <c r="D7" s="87">
        <f>P7</f>
        <v>242.2</v>
      </c>
      <c r="E7" s="87">
        <f>P8</f>
        <v>557.4</v>
      </c>
      <c r="F7" s="87">
        <f>P9</f>
        <v>785</v>
      </c>
      <c r="J7" s="50">
        <v>2030</v>
      </c>
      <c r="K7" s="88">
        <v>2147</v>
      </c>
      <c r="L7" s="89">
        <f>M17</f>
        <v>77.206323891247933</v>
      </c>
      <c r="M7" s="89">
        <f>J33</f>
        <v>939</v>
      </c>
      <c r="N7" s="90">
        <f>M7+L7+K7</f>
        <v>3163.2063238912478</v>
      </c>
      <c r="O7" s="89">
        <v>3.5</v>
      </c>
      <c r="P7" s="89">
        <v>242.2</v>
      </c>
      <c r="Q7" s="89">
        <f>N7-O7-P7</f>
        <v>2917.506323891248</v>
      </c>
    </row>
    <row r="8" spans="3:17" x14ac:dyDescent="0.25">
      <c r="C8" s="91" t="s">
        <v>70</v>
      </c>
      <c r="D8" s="92">
        <f>O7</f>
        <v>3.5</v>
      </c>
      <c r="E8" s="92">
        <f>O8</f>
        <v>17.98</v>
      </c>
      <c r="F8" s="92">
        <f>O9</f>
        <v>42.1</v>
      </c>
      <c r="J8">
        <v>2040</v>
      </c>
      <c r="K8" s="93">
        <v>1472</v>
      </c>
      <c r="L8" s="94">
        <f>M19</f>
        <v>63.10416122703618</v>
      </c>
      <c r="M8" s="94">
        <f>K33</f>
        <v>665</v>
      </c>
      <c r="N8" s="95">
        <f>M8+L8+K8</f>
        <v>2200.1041612270365</v>
      </c>
      <c r="O8" s="94">
        <v>17.98</v>
      </c>
      <c r="P8" s="94">
        <v>557.4</v>
      </c>
      <c r="Q8" s="94">
        <f>N8-O8-P8</f>
        <v>1624.7241612270363</v>
      </c>
    </row>
    <row r="9" spans="3:17" x14ac:dyDescent="0.25">
      <c r="C9" s="86" t="s">
        <v>67</v>
      </c>
      <c r="D9" s="87">
        <f>SUM(D6:D8)</f>
        <v>3163.2063238912478</v>
      </c>
      <c r="E9" s="87">
        <f>SUM(E6:E8)</f>
        <v>2200.1041612270365</v>
      </c>
      <c r="F9" s="87">
        <f>SUM(F6:F8)</f>
        <v>1135.498145795134</v>
      </c>
      <c r="J9" s="53">
        <v>2050</v>
      </c>
      <c r="K9" s="96">
        <v>1046</v>
      </c>
      <c r="L9" s="97">
        <f>M20</f>
        <v>49.998145795134072</v>
      </c>
      <c r="M9" s="97">
        <f>L33</f>
        <v>39.5</v>
      </c>
      <c r="N9" s="98">
        <f>M9+L9+K9</f>
        <v>1135.498145795134</v>
      </c>
      <c r="O9" s="97">
        <v>42.1</v>
      </c>
      <c r="P9" s="97">
        <v>785</v>
      </c>
      <c r="Q9" s="97">
        <f>N9-O9-P9</f>
        <v>308.39814579513404</v>
      </c>
    </row>
    <row r="10" spans="3:17" x14ac:dyDescent="0.25">
      <c r="C10" s="86"/>
      <c r="D10" s="86"/>
      <c r="E10" s="86"/>
      <c r="F10" s="86"/>
      <c r="J10" s="83" t="s">
        <v>51</v>
      </c>
      <c r="K10" s="80" t="s">
        <v>71</v>
      </c>
      <c r="L10" s="80" t="s">
        <v>72</v>
      </c>
      <c r="M10" s="80" t="s">
        <v>73</v>
      </c>
      <c r="N10" s="80"/>
      <c r="O10" s="80" t="s">
        <v>72</v>
      </c>
      <c r="P10" s="80" t="s">
        <v>72</v>
      </c>
      <c r="Q10" s="80" t="s">
        <v>74</v>
      </c>
    </row>
    <row r="11" spans="3:17" x14ac:dyDescent="0.25">
      <c r="C11" s="79" t="s">
        <v>75</v>
      </c>
      <c r="D11" s="79">
        <v>2030</v>
      </c>
      <c r="E11" s="79">
        <v>2040</v>
      </c>
      <c r="F11" s="79">
        <v>2050</v>
      </c>
    </row>
    <row r="12" spans="3:17" x14ac:dyDescent="0.25">
      <c r="C12" s="86" t="s">
        <v>76</v>
      </c>
      <c r="D12" s="99">
        <f>D6/$D$9</f>
        <v>0.92232564845857112</v>
      </c>
      <c r="E12" s="99">
        <f>E6/$E$9</f>
        <v>0.73847601848127919</v>
      </c>
      <c r="F12" s="99">
        <f>F6/$F$9</f>
        <v>0.27159722535625797</v>
      </c>
    </row>
    <row r="13" spans="3:17" x14ac:dyDescent="0.25">
      <c r="C13" s="86" t="s">
        <v>20</v>
      </c>
      <c r="D13" s="99">
        <f t="shared" ref="D13:D14" si="0">D7/$D$9</f>
        <v>7.6567879297249064E-2</v>
      </c>
      <c r="E13" s="99">
        <f t="shared" ref="E13:E14" si="1">E7/$E$9</f>
        <v>0.25335164117371983</v>
      </c>
      <c r="F13" s="99">
        <f>F7/$F$9</f>
        <v>0.69132653620522011</v>
      </c>
    </row>
    <row r="14" spans="3:17" x14ac:dyDescent="0.25">
      <c r="C14" s="91" t="s">
        <v>70</v>
      </c>
      <c r="D14" s="100">
        <f t="shared" si="0"/>
        <v>1.1064722441798999E-3</v>
      </c>
      <c r="E14" s="100">
        <f t="shared" si="1"/>
        <v>8.1723403450008666E-3</v>
      </c>
      <c r="F14" s="100">
        <f>F8/$F$9</f>
        <v>3.7076238438522001E-2</v>
      </c>
    </row>
    <row r="15" spans="3:17" x14ac:dyDescent="0.25">
      <c r="C15" s="86"/>
      <c r="D15" s="86"/>
      <c r="E15" s="86"/>
      <c r="F15" s="86"/>
      <c r="I15" s="79"/>
      <c r="J15" s="79" t="s">
        <v>77</v>
      </c>
      <c r="K15" s="79"/>
      <c r="L15" s="79"/>
      <c r="M15" s="79"/>
    </row>
    <row r="16" spans="3:17" x14ac:dyDescent="0.25">
      <c r="C16" s="79" t="s">
        <v>78</v>
      </c>
      <c r="D16" s="79">
        <v>2030</v>
      </c>
      <c r="E16" s="79">
        <v>2040</v>
      </c>
      <c r="F16" s="79">
        <v>2050</v>
      </c>
      <c r="I16" s="101"/>
      <c r="J16" s="101" t="s">
        <v>79</v>
      </c>
      <c r="K16" s="101" t="s">
        <v>80</v>
      </c>
      <c r="L16" s="101" t="s">
        <v>81</v>
      </c>
      <c r="M16" s="101" t="s">
        <v>67</v>
      </c>
    </row>
    <row r="17" spans="3:13" x14ac:dyDescent="0.25">
      <c r="C17" s="86" t="s">
        <v>76</v>
      </c>
      <c r="D17" s="102">
        <f>'[7]2026 TYNDP'!D11</f>
        <v>9.2340241110000001</v>
      </c>
      <c r="E17" s="102">
        <f>'[7]2026 TYNDP'!E11</f>
        <v>10.362627057900001</v>
      </c>
      <c r="F17" s="102">
        <f>'[7]2026 TYNDP'!F11</f>
        <v>9.8496257184000005</v>
      </c>
      <c r="I17" s="50">
        <v>2030</v>
      </c>
      <c r="J17" s="103">
        <v>52.698202886853807</v>
      </c>
      <c r="K17" s="103">
        <v>23.452678571696321</v>
      </c>
      <c r="L17" s="103">
        <v>1.0554424326978</v>
      </c>
      <c r="M17" s="103">
        <f>SUM(J17:L17)</f>
        <v>77.206323891247933</v>
      </c>
    </row>
    <row r="18" spans="3:13" x14ac:dyDescent="0.25">
      <c r="C18" s="86" t="s">
        <v>20</v>
      </c>
      <c r="D18" s="102">
        <f>'[7]2026 TYNDP'!D14</f>
        <v>13.872808154323543</v>
      </c>
      <c r="E18" s="102">
        <f>'[7]2026 TYNDP'!E14</f>
        <v>14.113732196485667</v>
      </c>
      <c r="F18" s="102">
        <f>'[7]2026 TYNDP'!F14</f>
        <v>13.880700022548249</v>
      </c>
      <c r="I18">
        <v>2035</v>
      </c>
      <c r="J18" s="104">
        <v>44.941208353799951</v>
      </c>
      <c r="K18" s="104">
        <v>22.62800633986134</v>
      </c>
      <c r="L18" s="104">
        <v>1.043514011131365</v>
      </c>
      <c r="M18" s="104">
        <f>SUM(J18:L18)</f>
        <v>68.612728704792659</v>
      </c>
    </row>
    <row r="19" spans="3:13" x14ac:dyDescent="0.25">
      <c r="C19" s="91" t="s">
        <v>70</v>
      </c>
      <c r="D19" s="105">
        <f>'[7]2026 TYNDP'!D15</f>
        <v>32.828934105408003</v>
      </c>
      <c r="E19" s="105">
        <f>'[7]2026 TYNDP'!E15</f>
        <v>29.776243586460005</v>
      </c>
      <c r="F19" s="105">
        <f>'[7]2026 TYNDP'!F15</f>
        <v>28.024699846080001</v>
      </c>
      <c r="I19">
        <v>2040</v>
      </c>
      <c r="J19" s="104">
        <v>42.054391951482692</v>
      </c>
      <c r="K19" s="104">
        <v>20.64617873658359</v>
      </c>
      <c r="L19" s="104">
        <v>0.40359053896989938</v>
      </c>
      <c r="M19" s="104">
        <f>SUM(J19:L19)</f>
        <v>63.10416122703618</v>
      </c>
    </row>
    <row r="20" spans="3:13" x14ac:dyDescent="0.25">
      <c r="I20" s="53">
        <v>2050</v>
      </c>
      <c r="J20" s="106">
        <v>28.044259351360111</v>
      </c>
      <c r="K20" s="106">
        <v>21.816092236722039</v>
      </c>
      <c r="L20" s="106">
        <v>0.1377942070519213</v>
      </c>
      <c r="M20" s="106">
        <f>SUM(J20:L20)</f>
        <v>49.998145795134072</v>
      </c>
    </row>
    <row r="21" spans="3:13" x14ac:dyDescent="0.25">
      <c r="C21" s="79" t="s">
        <v>82</v>
      </c>
      <c r="D21" s="79">
        <v>2030</v>
      </c>
      <c r="E21" s="79">
        <v>2040</v>
      </c>
      <c r="F21" s="79">
        <v>2050</v>
      </c>
    </row>
    <row r="22" spans="3:13" x14ac:dyDescent="0.25">
      <c r="C22" s="91" t="s">
        <v>83</v>
      </c>
      <c r="D22" s="105">
        <f>D12*D17+D13*D18+D14*D19</f>
        <v>9.6153130807279386</v>
      </c>
      <c r="E22" s="105">
        <f t="shared" ref="E22:F22" si="2">E12*E17+E13*E18+E14*E19</f>
        <v>11.471630382574579</v>
      </c>
      <c r="F22" s="105">
        <f t="shared" si="2"/>
        <v>13.310277736268354</v>
      </c>
      <c r="I22" s="79"/>
      <c r="J22" s="79" t="s">
        <v>84</v>
      </c>
      <c r="K22" s="79"/>
      <c r="L22" s="79"/>
      <c r="M22" s="79"/>
    </row>
    <row r="23" spans="3:13" x14ac:dyDescent="0.25">
      <c r="J23" t="s">
        <v>85</v>
      </c>
      <c r="K23" t="s">
        <v>85</v>
      </c>
      <c r="L23" t="s">
        <v>86</v>
      </c>
      <c r="M23" t="s">
        <v>87</v>
      </c>
    </row>
    <row r="24" spans="3:13" x14ac:dyDescent="0.25">
      <c r="J24">
        <v>2030</v>
      </c>
      <c r="K24">
        <v>2040</v>
      </c>
      <c r="L24">
        <v>2050</v>
      </c>
      <c r="M24">
        <v>2050</v>
      </c>
    </row>
    <row r="25" spans="3:13" x14ac:dyDescent="0.25">
      <c r="J25">
        <v>776</v>
      </c>
      <c r="K25">
        <v>501</v>
      </c>
      <c r="L25">
        <v>53</v>
      </c>
      <c r="M25">
        <v>19</v>
      </c>
    </row>
    <row r="27" spans="3:13" x14ac:dyDescent="0.25">
      <c r="I27" s="79"/>
      <c r="J27" s="79" t="s">
        <v>88</v>
      </c>
      <c r="K27" s="79"/>
      <c r="L27" s="79"/>
      <c r="M27" s="79"/>
    </row>
    <row r="28" spans="3:13" x14ac:dyDescent="0.25">
      <c r="J28" t="s">
        <v>85</v>
      </c>
      <c r="K28" t="s">
        <v>85</v>
      </c>
      <c r="L28" t="s">
        <v>86</v>
      </c>
      <c r="M28" t="s">
        <v>87</v>
      </c>
    </row>
    <row r="29" spans="3:13" x14ac:dyDescent="0.25">
      <c r="J29">
        <v>2030</v>
      </c>
      <c r="K29">
        <v>2040</v>
      </c>
      <c r="L29">
        <v>2050</v>
      </c>
      <c r="M29">
        <v>2050</v>
      </c>
    </row>
    <row r="30" spans="3:13" x14ac:dyDescent="0.25">
      <c r="J30">
        <v>163</v>
      </c>
      <c r="K30">
        <v>164</v>
      </c>
      <c r="L30">
        <v>0</v>
      </c>
      <c r="M30">
        <v>7</v>
      </c>
    </row>
    <row r="31" spans="3:13" x14ac:dyDescent="0.25">
      <c r="I31" s="50" t="s">
        <v>89</v>
      </c>
      <c r="J31" s="50"/>
      <c r="K31" s="50"/>
      <c r="L31" s="50"/>
      <c r="M31" s="50"/>
    </row>
    <row r="32" spans="3:13" x14ac:dyDescent="0.25">
      <c r="J32">
        <v>2030</v>
      </c>
      <c r="K32">
        <v>2040</v>
      </c>
      <c r="L32">
        <v>2050</v>
      </c>
    </row>
    <row r="33" spans="9:13" x14ac:dyDescent="0.25">
      <c r="I33" s="53"/>
      <c r="J33" s="53">
        <f>J25+J30</f>
        <v>939</v>
      </c>
      <c r="K33" s="53">
        <f>K25+K30</f>
        <v>665</v>
      </c>
      <c r="L33" s="53">
        <f>((L25+M25)/2)+M30/2</f>
        <v>39.5</v>
      </c>
      <c r="M33" s="53"/>
    </row>
  </sheetData>
  <mergeCells count="2">
    <mergeCell ref="K5:N5"/>
    <mergeCell ref="O5:Q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525C0-ABA0-4177-8A0A-C48979B72474}">
  <dimension ref="A1:W1012"/>
  <sheetViews>
    <sheetView showGridLines="0" workbookViewId="0">
      <selection activeCell="O58" sqref="O58"/>
    </sheetView>
  </sheetViews>
  <sheetFormatPr defaultColWidth="8.7109375" defaultRowHeight="15" x14ac:dyDescent="0.25"/>
  <cols>
    <col min="2" max="2" width="45.7109375" bestFit="1" customWidth="1"/>
    <col min="3" max="3" width="12.28515625" customWidth="1"/>
    <col min="4" max="4" width="7.85546875" style="196" bestFit="1" customWidth="1"/>
    <col min="5" max="5" width="11" bestFit="1" customWidth="1"/>
    <col min="6" max="10" width="12" bestFit="1" customWidth="1"/>
    <col min="11" max="11" width="5.42578125" bestFit="1" customWidth="1"/>
    <col min="12" max="12" width="4.85546875" bestFit="1" customWidth="1"/>
    <col min="15" max="15" width="42.5703125" bestFit="1" customWidth="1"/>
    <col min="16" max="16" width="12" bestFit="1" customWidth="1"/>
    <col min="17" max="17" width="25.140625" bestFit="1" customWidth="1"/>
    <col min="18" max="20" width="9.85546875" customWidth="1"/>
    <col min="21" max="21" width="11.5703125" customWidth="1"/>
    <col min="22" max="22" width="11.5703125" bestFit="1" customWidth="1"/>
    <col min="26" max="26" width="12" bestFit="1" customWidth="1"/>
    <col min="30" max="30" width="12.7109375" bestFit="1" customWidth="1"/>
    <col min="31" max="31" width="4.85546875" bestFit="1" customWidth="1"/>
  </cols>
  <sheetData>
    <row r="1" spans="1:22" x14ac:dyDescent="0.25">
      <c r="A1" s="107" t="s">
        <v>90</v>
      </c>
      <c r="B1" s="108"/>
      <c r="C1" s="108"/>
      <c r="D1" s="108"/>
      <c r="E1" s="108"/>
      <c r="F1" s="108"/>
      <c r="G1" s="108"/>
      <c r="H1" s="108"/>
      <c r="I1" s="108"/>
      <c r="J1" s="108"/>
      <c r="K1" s="108"/>
      <c r="L1" s="108"/>
      <c r="M1" s="109"/>
    </row>
    <row r="2" spans="1:22" x14ac:dyDescent="0.25">
      <c r="A2" s="110" t="s">
        <v>91</v>
      </c>
      <c r="B2" s="111"/>
      <c r="C2" s="251" t="s">
        <v>92</v>
      </c>
      <c r="D2" s="251"/>
      <c r="E2" s="251"/>
      <c r="F2" s="251"/>
      <c r="G2" s="251"/>
      <c r="H2" s="251"/>
      <c r="I2" s="251"/>
      <c r="J2" s="251"/>
      <c r="K2" s="251"/>
      <c r="L2" s="251"/>
      <c r="M2" s="252"/>
    </row>
    <row r="3" spans="1:22" ht="15.75" customHeight="1" x14ac:dyDescent="0.25">
      <c r="A3" s="112" t="s">
        <v>93</v>
      </c>
      <c r="B3" s="113"/>
      <c r="C3" s="114">
        <v>2020</v>
      </c>
      <c r="D3" s="114">
        <v>2025</v>
      </c>
      <c r="E3" s="114">
        <v>2030</v>
      </c>
      <c r="F3" s="114">
        <v>2040</v>
      </c>
      <c r="G3" s="114">
        <v>2050</v>
      </c>
      <c r="H3" s="114">
        <v>2025</v>
      </c>
      <c r="I3" s="114">
        <v>2025</v>
      </c>
      <c r="J3" s="114">
        <v>2050</v>
      </c>
      <c r="K3" s="114">
        <v>2050</v>
      </c>
      <c r="L3" s="115" t="s">
        <v>52</v>
      </c>
      <c r="M3" s="116" t="s">
        <v>94</v>
      </c>
      <c r="O3" s="85" t="s">
        <v>95</v>
      </c>
      <c r="P3" s="117"/>
      <c r="Q3" s="117"/>
      <c r="R3" s="117"/>
      <c r="S3" s="117"/>
      <c r="T3" s="117"/>
      <c r="U3" s="117"/>
      <c r="V3" s="117"/>
    </row>
    <row r="4" spans="1:22" ht="15.75" thickBot="1" x14ac:dyDescent="0.3">
      <c r="A4" s="118" t="s">
        <v>96</v>
      </c>
      <c r="B4" s="119"/>
      <c r="C4" s="120" t="s">
        <v>97</v>
      </c>
      <c r="D4" s="120" t="s">
        <v>97</v>
      </c>
      <c r="E4" s="120" t="s">
        <v>97</v>
      </c>
      <c r="F4" s="120" t="s">
        <v>97</v>
      </c>
      <c r="G4" s="120" t="s">
        <v>97</v>
      </c>
      <c r="H4" s="120" t="s">
        <v>98</v>
      </c>
      <c r="I4" s="120" t="s">
        <v>99</v>
      </c>
      <c r="J4" s="120" t="s">
        <v>98</v>
      </c>
      <c r="K4" s="120" t="s">
        <v>99</v>
      </c>
      <c r="L4" s="121" t="s">
        <v>100</v>
      </c>
      <c r="M4" s="122" t="s">
        <v>100</v>
      </c>
    </row>
    <row r="5" spans="1:22" ht="15" customHeight="1" x14ac:dyDescent="0.25">
      <c r="A5" s="123" t="s">
        <v>101</v>
      </c>
      <c r="B5" s="124" t="s">
        <v>102</v>
      </c>
      <c r="C5" s="125"/>
      <c r="D5" s="126"/>
      <c r="E5" s="126"/>
      <c r="F5" s="126"/>
      <c r="G5" s="126"/>
      <c r="H5" s="126"/>
      <c r="I5" s="126"/>
      <c r="J5" s="126"/>
      <c r="K5" s="126"/>
      <c r="L5" s="127"/>
      <c r="M5" s="128"/>
      <c r="O5" s="129" t="s">
        <v>103</v>
      </c>
      <c r="P5" s="130"/>
      <c r="Q5" s="130"/>
      <c r="S5" s="131" t="s">
        <v>104</v>
      </c>
      <c r="T5" s="132"/>
      <c r="U5" s="132"/>
      <c r="V5" s="132"/>
    </row>
    <row r="6" spans="1:22" x14ac:dyDescent="0.25">
      <c r="A6" s="51" t="s">
        <v>105</v>
      </c>
      <c r="B6" s="133"/>
      <c r="C6" s="126"/>
      <c r="D6" s="126"/>
      <c r="E6" s="126"/>
      <c r="F6" s="126"/>
      <c r="G6" s="126"/>
      <c r="H6" s="126"/>
      <c r="I6" s="126"/>
      <c r="J6" s="126"/>
      <c r="K6" s="126"/>
      <c r="L6" s="127"/>
      <c r="M6" s="128"/>
      <c r="O6" t="s">
        <v>106</v>
      </c>
      <c r="P6" s="102">
        <f>D8</f>
        <v>59.281843917501945</v>
      </c>
      <c r="Q6" t="s">
        <v>107</v>
      </c>
      <c r="S6" t="s">
        <v>108</v>
      </c>
      <c r="T6" s="104">
        <v>2030</v>
      </c>
      <c r="U6" s="104">
        <v>2040</v>
      </c>
      <c r="V6" s="104">
        <v>2050</v>
      </c>
    </row>
    <row r="7" spans="1:22" x14ac:dyDescent="0.25">
      <c r="A7" s="51"/>
      <c r="B7" s="134" t="s">
        <v>109</v>
      </c>
      <c r="C7" s="135">
        <v>1.1937764534799515</v>
      </c>
      <c r="D7" s="135">
        <v>1.1937764534799515</v>
      </c>
      <c r="E7" s="135">
        <v>1.1937764534799515</v>
      </c>
      <c r="F7" s="135">
        <v>1.1937764534799515</v>
      </c>
      <c r="G7" s="135">
        <v>1.1937764534799515</v>
      </c>
      <c r="H7" s="136">
        <f>C7*0.9</f>
        <v>1.0743988081319564</v>
      </c>
      <c r="I7" s="136">
        <f>C7*1.1</f>
        <v>1.3131540988279469</v>
      </c>
      <c r="J7" s="136">
        <f>E7*0.9</f>
        <v>1.0743988081319564</v>
      </c>
      <c r="K7" s="136">
        <f>E7*1.1</f>
        <v>1.3131540988279469</v>
      </c>
      <c r="L7" s="137" t="s">
        <v>110</v>
      </c>
      <c r="M7" s="138">
        <v>1</v>
      </c>
      <c r="O7" t="s">
        <v>111</v>
      </c>
      <c r="P7" s="52">
        <f>D7*1000000</f>
        <v>1193776.4534799515</v>
      </c>
      <c r="Q7" t="s">
        <v>112</v>
      </c>
      <c r="S7" s="53" t="s">
        <v>113</v>
      </c>
      <c r="T7" s="106">
        <f>E24*$P$6</f>
        <v>60.428443750629128</v>
      </c>
      <c r="U7" s="106">
        <f t="shared" ref="U7" si="0">F24*$P$6</f>
        <v>58.34470431095226</v>
      </c>
      <c r="V7" s="106">
        <f>G24*$P$6</f>
        <v>54.871805244824159</v>
      </c>
    </row>
    <row r="8" spans="1:22" x14ac:dyDescent="0.25">
      <c r="A8" s="51"/>
      <c r="B8" s="134" t="s">
        <v>114</v>
      </c>
      <c r="C8" s="135">
        <v>59.281843917501945</v>
      </c>
      <c r="D8" s="135">
        <v>59.281843917501945</v>
      </c>
      <c r="E8" s="135">
        <v>59.281843917501945</v>
      </c>
      <c r="F8" s="135">
        <v>59.281843917501945</v>
      </c>
      <c r="G8" s="135">
        <v>59.281843917501945</v>
      </c>
      <c r="H8" s="135"/>
      <c r="I8" s="135"/>
      <c r="J8" s="135"/>
      <c r="K8" s="135"/>
      <c r="L8" s="137" t="s">
        <v>115</v>
      </c>
      <c r="M8" s="138" t="s">
        <v>116</v>
      </c>
      <c r="O8" t="s">
        <v>117</v>
      </c>
      <c r="P8">
        <v>10</v>
      </c>
      <c r="Q8" t="s">
        <v>118</v>
      </c>
      <c r="S8" s="50" t="s">
        <v>119</v>
      </c>
      <c r="T8" s="139">
        <f>T7*$P$14</f>
        <v>4.8489346664576436</v>
      </c>
      <c r="U8" s="139">
        <f t="shared" ref="U8:V8" si="1">U7*$P$14</f>
        <v>4.6817300227866898</v>
      </c>
      <c r="V8" s="139">
        <f t="shared" si="1"/>
        <v>4.4030556166684356</v>
      </c>
    </row>
    <row r="9" spans="1:22" x14ac:dyDescent="0.25">
      <c r="A9" s="51"/>
      <c r="B9" s="140" t="s">
        <v>120</v>
      </c>
      <c r="C9" s="136"/>
      <c r="D9" s="136"/>
      <c r="E9" s="136"/>
      <c r="F9" s="136"/>
      <c r="G9" s="136"/>
      <c r="H9" s="136"/>
      <c r="I9" s="136"/>
      <c r="J9" s="136"/>
      <c r="K9" s="136"/>
      <c r="L9" s="141"/>
      <c r="M9" s="142"/>
      <c r="O9" t="s">
        <v>121</v>
      </c>
      <c r="P9">
        <v>20</v>
      </c>
      <c r="Q9" t="s">
        <v>122</v>
      </c>
      <c r="S9" s="53" t="s">
        <v>123</v>
      </c>
      <c r="T9" s="105">
        <f>(E28*$P$7)/1000000</f>
        <v>3.7069976796684383</v>
      </c>
      <c r="U9" s="105">
        <f t="shared" ref="U9:V9" si="2">(F28*$P$7)/1000000</f>
        <v>3.5791701734729751</v>
      </c>
      <c r="V9" s="105">
        <f t="shared" si="2"/>
        <v>3.3661243298138692</v>
      </c>
    </row>
    <row r="10" spans="1:22" x14ac:dyDescent="0.25">
      <c r="A10" s="51"/>
      <c r="B10" s="54" t="s">
        <v>124</v>
      </c>
      <c r="C10" s="135">
        <v>1.1937764534799515</v>
      </c>
      <c r="D10" s="135">
        <v>1.1937764534799515</v>
      </c>
      <c r="E10" s="135">
        <v>1.1937764534799515</v>
      </c>
      <c r="F10" s="135">
        <v>1.1937764534799515</v>
      </c>
      <c r="G10" s="135">
        <v>1.1937764534799515</v>
      </c>
      <c r="H10" s="135"/>
      <c r="I10" s="135"/>
      <c r="J10" s="135"/>
      <c r="K10" s="135"/>
      <c r="L10" s="141" t="s">
        <v>125</v>
      </c>
      <c r="M10" s="138">
        <v>1</v>
      </c>
      <c r="S10" s="101" t="s">
        <v>126</v>
      </c>
      <c r="T10" s="143">
        <f>T9+T8</f>
        <v>8.555932346126081</v>
      </c>
      <c r="U10" s="143">
        <f t="shared" ref="U10:V10" si="3">U9+U8</f>
        <v>8.2609001962596658</v>
      </c>
      <c r="V10" s="143">
        <f t="shared" si="3"/>
        <v>7.7691799464823053</v>
      </c>
    </row>
    <row r="11" spans="1:22" x14ac:dyDescent="0.25">
      <c r="A11" s="51"/>
      <c r="B11" s="54" t="s">
        <v>127</v>
      </c>
      <c r="C11" s="144">
        <v>2.113724555097192E-2</v>
      </c>
      <c r="D11" s="144">
        <f>C11</f>
        <v>2.113724555097192E-2</v>
      </c>
      <c r="E11" s="144">
        <f>C11*0.87</f>
        <v>1.8389403629345571E-2</v>
      </c>
      <c r="F11" s="144">
        <f>C11*0.84</f>
        <v>1.7755286262816413E-2</v>
      </c>
      <c r="G11" s="144">
        <f>C11*0.79</f>
        <v>1.6698423985267816E-2</v>
      </c>
      <c r="H11" s="144">
        <f>D11*0.75</f>
        <v>1.585293416322894E-2</v>
      </c>
      <c r="I11" s="144">
        <f>C11*1.25</f>
        <v>2.64215569387149E-2</v>
      </c>
      <c r="J11" s="144">
        <f>G11*0.75</f>
        <v>1.2523817988950862E-2</v>
      </c>
      <c r="K11" s="144">
        <f>G11*1.25</f>
        <v>2.087302998158477E-2</v>
      </c>
      <c r="L11" s="55" t="s">
        <v>128</v>
      </c>
      <c r="M11" s="138">
        <v>1</v>
      </c>
      <c r="O11" s="145" t="s">
        <v>129</v>
      </c>
      <c r="P11" s="146"/>
      <c r="Q11" s="146"/>
    </row>
    <row r="12" spans="1:22" x14ac:dyDescent="0.25">
      <c r="A12" s="51"/>
      <c r="B12" s="54" t="s">
        <v>130</v>
      </c>
      <c r="C12" s="135">
        <v>9.2012865120044509</v>
      </c>
      <c r="D12" s="147">
        <f t="shared" ref="D12:D14" si="4">C12</f>
        <v>9.2012865120044509</v>
      </c>
      <c r="E12" s="135">
        <f t="shared" ref="E12:E14" si="5">C12*0.87</f>
        <v>8.0051192654438719</v>
      </c>
      <c r="F12" s="135">
        <f t="shared" ref="F12:F14" si="6">C12*0.84</f>
        <v>7.7290806700837384</v>
      </c>
      <c r="G12" s="135">
        <f t="shared" ref="G12:G14" si="7">C12*0.79</f>
        <v>7.269016344483517</v>
      </c>
      <c r="H12" s="135">
        <f t="shared" ref="H12" si="8">D12*0.75</f>
        <v>6.9009648840033382</v>
      </c>
      <c r="I12" s="135">
        <f t="shared" ref="I12" si="9">C12*1.25</f>
        <v>11.501608140005564</v>
      </c>
      <c r="J12" s="135">
        <f t="shared" ref="J12" si="10">G12*0.75</f>
        <v>5.4517622583626375</v>
      </c>
      <c r="K12" s="135">
        <f t="shared" ref="K12" si="11">G12*1.25</f>
        <v>9.0862704306043955</v>
      </c>
      <c r="L12" s="55" t="s">
        <v>128</v>
      </c>
      <c r="M12" s="138">
        <v>1</v>
      </c>
      <c r="O12" t="s">
        <v>131</v>
      </c>
      <c r="P12">
        <v>5</v>
      </c>
      <c r="Q12" t="s">
        <v>45</v>
      </c>
      <c r="S12" t="s">
        <v>132</v>
      </c>
      <c r="T12" s="52">
        <f>$P$6*24*(365-$P$8)</f>
        <v>505081.3101771166</v>
      </c>
      <c r="U12" s="52">
        <f t="shared" ref="U12:V12" si="12">$P$6*24*(365-$P$8)</f>
        <v>505081.3101771166</v>
      </c>
      <c r="V12" s="52">
        <f t="shared" si="12"/>
        <v>505081.3101771166</v>
      </c>
    </row>
    <row r="13" spans="1:22" x14ac:dyDescent="0.25">
      <c r="A13" s="51"/>
      <c r="B13" s="148" t="s">
        <v>133</v>
      </c>
      <c r="C13" s="144">
        <v>5.0538519968343007E-2</v>
      </c>
      <c r="D13" s="144">
        <f t="shared" si="4"/>
        <v>5.0538519968343007E-2</v>
      </c>
      <c r="E13" s="144">
        <f t="shared" si="5"/>
        <v>4.3968512372458413E-2</v>
      </c>
      <c r="F13" s="144">
        <f t="shared" si="6"/>
        <v>4.2452356773408126E-2</v>
      </c>
      <c r="G13" s="144">
        <f t="shared" si="7"/>
        <v>3.9925430774990979E-2</v>
      </c>
      <c r="H13" s="144">
        <f>D13*0.85</f>
        <v>4.2957741973091552E-2</v>
      </c>
      <c r="I13" s="144">
        <f>C13*1.15</f>
        <v>5.8119297963594455E-2</v>
      </c>
      <c r="J13" s="144">
        <f>G13*0.85</f>
        <v>3.3936616158742335E-2</v>
      </c>
      <c r="K13" s="144">
        <f>G13*1.15</f>
        <v>4.5914245391239623E-2</v>
      </c>
      <c r="L13" s="137" t="s">
        <v>134</v>
      </c>
      <c r="M13" s="138">
        <v>1</v>
      </c>
      <c r="O13" t="s">
        <v>135</v>
      </c>
      <c r="P13">
        <v>20</v>
      </c>
      <c r="Q13" t="s">
        <v>136</v>
      </c>
    </row>
    <row r="14" spans="1:22" ht="15.75" thickBot="1" x14ac:dyDescent="0.3">
      <c r="A14" s="51"/>
      <c r="B14" s="148" t="s">
        <v>137</v>
      </c>
      <c r="C14" s="135">
        <v>21.999999999999996</v>
      </c>
      <c r="D14" s="147">
        <f t="shared" si="4"/>
        <v>21.999999999999996</v>
      </c>
      <c r="E14" s="135">
        <f t="shared" si="5"/>
        <v>19.139999999999997</v>
      </c>
      <c r="F14" s="135">
        <f t="shared" si="6"/>
        <v>18.479999999999997</v>
      </c>
      <c r="G14" s="135">
        <f t="shared" si="7"/>
        <v>17.38</v>
      </c>
      <c r="H14" s="135">
        <f>D14*0.85</f>
        <v>18.699999999999996</v>
      </c>
      <c r="I14" s="135">
        <f>C14*1.15</f>
        <v>25.299999999999994</v>
      </c>
      <c r="J14" s="135">
        <f>G14*0.85</f>
        <v>14.772999999999998</v>
      </c>
      <c r="K14" s="135">
        <f>G14*1.15</f>
        <v>19.986999999999998</v>
      </c>
      <c r="L14" s="137" t="s">
        <v>134</v>
      </c>
      <c r="M14" s="138">
        <v>1</v>
      </c>
      <c r="O14" t="s">
        <v>138</v>
      </c>
      <c r="P14" s="149">
        <f>(P12/100)/(1 - POWER(1 + (P12/100),-P13))</f>
        <v>8.0242587190691314E-2</v>
      </c>
      <c r="S14" s="150" t="s">
        <v>139</v>
      </c>
      <c r="T14" s="151">
        <f>(T10*1000000)/T12</f>
        <v>16.939712821933121</v>
      </c>
      <c r="U14" s="151">
        <f t="shared" ref="U14:V14" si="13">(U10*1000000)/U12</f>
        <v>16.355584793590602</v>
      </c>
      <c r="V14" s="151">
        <f t="shared" si="13"/>
        <v>15.382038079686399</v>
      </c>
    </row>
    <row r="15" spans="1:22" ht="15.75" thickTop="1" x14ac:dyDescent="0.25">
      <c r="A15" s="51"/>
      <c r="B15" s="152" t="s">
        <v>140</v>
      </c>
      <c r="C15" s="153"/>
      <c r="D15" s="153"/>
      <c r="E15" s="153"/>
      <c r="F15" s="154"/>
      <c r="G15" s="154"/>
      <c r="H15" s="135"/>
      <c r="I15" s="135"/>
      <c r="J15" s="135"/>
      <c r="K15" s="135"/>
      <c r="L15" s="55"/>
      <c r="M15" s="56"/>
    </row>
    <row r="16" spans="1:22" x14ac:dyDescent="0.25">
      <c r="A16" s="51"/>
      <c r="B16" s="155" t="s">
        <v>141</v>
      </c>
      <c r="C16" s="156">
        <v>1</v>
      </c>
      <c r="D16" s="156">
        <v>1</v>
      </c>
      <c r="E16" s="156">
        <v>1</v>
      </c>
      <c r="F16" s="156">
        <v>1</v>
      </c>
      <c r="G16" s="156">
        <v>1</v>
      </c>
      <c r="H16" s="153"/>
      <c r="I16" s="153"/>
      <c r="J16" s="153"/>
      <c r="K16" s="153"/>
      <c r="L16" s="55"/>
      <c r="M16" s="138">
        <v>1</v>
      </c>
      <c r="O16" s="157" t="s">
        <v>142</v>
      </c>
      <c r="P16" s="158"/>
      <c r="Q16" s="158"/>
      <c r="S16" t="s">
        <v>143</v>
      </c>
      <c r="T16" s="149">
        <f>($Q$26*$P$7)/1000000</f>
        <v>7.8717977170098044</v>
      </c>
      <c r="U16" s="149">
        <f t="shared" ref="U16:V16" si="14">($Q$26*$P$7)/1000000</f>
        <v>7.8717977170098044</v>
      </c>
      <c r="V16" s="149">
        <f t="shared" si="14"/>
        <v>7.8717977170098044</v>
      </c>
    </row>
    <row r="17" spans="1:22" x14ac:dyDescent="0.25">
      <c r="A17" s="51"/>
      <c r="B17" s="54" t="s">
        <v>144</v>
      </c>
      <c r="C17" s="136">
        <v>1.59</v>
      </c>
      <c r="D17" s="136">
        <v>1.59</v>
      </c>
      <c r="E17" s="136">
        <v>1.59</v>
      </c>
      <c r="F17" s="136">
        <v>1.59</v>
      </c>
      <c r="G17" s="136">
        <v>1.59</v>
      </c>
      <c r="H17" s="136"/>
      <c r="I17" s="136"/>
      <c r="J17" s="136"/>
      <c r="K17" s="136"/>
      <c r="L17" s="55" t="s">
        <v>115</v>
      </c>
      <c r="M17" s="138">
        <v>1</v>
      </c>
      <c r="O17" s="53" t="s">
        <v>145</v>
      </c>
      <c r="P17" s="53" t="s">
        <v>146</v>
      </c>
      <c r="Q17" s="53" t="s">
        <v>147</v>
      </c>
      <c r="S17" s="53" t="s">
        <v>148</v>
      </c>
      <c r="T17" s="105">
        <f>(T16*1000000)/T12</f>
        <v>15.585208873100857</v>
      </c>
      <c r="U17" s="105">
        <f t="shared" ref="U17:V17" si="15">(U16*1000000)/U12</f>
        <v>15.585208873100857</v>
      </c>
      <c r="V17" s="105">
        <f t="shared" si="15"/>
        <v>15.585208873100857</v>
      </c>
    </row>
    <row r="18" spans="1:22" x14ac:dyDescent="0.25">
      <c r="A18" s="51"/>
      <c r="B18" s="54" t="s">
        <v>149</v>
      </c>
      <c r="C18" s="154">
        <v>59.281843917501945</v>
      </c>
      <c r="D18" s="154">
        <v>59.281843917501945</v>
      </c>
      <c r="E18" s="154">
        <v>59.281843917501945</v>
      </c>
      <c r="F18" s="154">
        <v>59.281843917501945</v>
      </c>
      <c r="G18" s="154">
        <v>59.281843917501945</v>
      </c>
      <c r="H18" s="154"/>
      <c r="I18" s="154"/>
      <c r="J18" s="154"/>
      <c r="K18" s="154"/>
      <c r="L18" s="55"/>
      <c r="M18" s="138" t="s">
        <v>116</v>
      </c>
      <c r="O18" s="50" t="s">
        <v>150</v>
      </c>
      <c r="P18" s="159">
        <v>0.83789139679172298</v>
      </c>
      <c r="Q18" s="159">
        <v>3.3557046979865772</v>
      </c>
    </row>
    <row r="19" spans="1:22" ht="15.75" thickBot="1" x14ac:dyDescent="0.3">
      <c r="A19" s="51"/>
      <c r="B19" s="134" t="s">
        <v>151</v>
      </c>
      <c r="C19" s="160" t="s">
        <v>100</v>
      </c>
      <c r="D19" s="160" t="s">
        <v>100</v>
      </c>
      <c r="E19" s="160" t="s">
        <v>100</v>
      </c>
      <c r="F19" s="160" t="s">
        <v>100</v>
      </c>
      <c r="G19" s="160" t="s">
        <v>100</v>
      </c>
      <c r="H19" s="136"/>
      <c r="I19" s="136"/>
      <c r="J19" s="136"/>
      <c r="K19" s="136"/>
      <c r="L19" s="141"/>
      <c r="M19" s="138">
        <v>1</v>
      </c>
      <c r="O19" t="s">
        <v>152</v>
      </c>
      <c r="P19" s="161">
        <v>8.4638327610316366E-2</v>
      </c>
      <c r="Q19" s="161">
        <v>6.7114093959731544</v>
      </c>
      <c r="S19" s="150" t="s">
        <v>153</v>
      </c>
      <c r="T19" s="151">
        <f>T17+T14</f>
        <v>32.524921695033981</v>
      </c>
      <c r="U19" s="151">
        <f t="shared" ref="U19:V19" si="16">U17+U14</f>
        <v>31.940793666691459</v>
      </c>
      <c r="V19" s="151">
        <f t="shared" si="16"/>
        <v>30.967246952787256</v>
      </c>
    </row>
    <row r="20" spans="1:22" ht="15.75" thickTop="1" x14ac:dyDescent="0.25">
      <c r="A20" s="51"/>
      <c r="B20" s="134" t="s">
        <v>154</v>
      </c>
      <c r="C20" s="162" t="s">
        <v>100</v>
      </c>
      <c r="D20" s="162" t="s">
        <v>100</v>
      </c>
      <c r="E20" s="162" t="s">
        <v>100</v>
      </c>
      <c r="F20" s="162" t="s">
        <v>100</v>
      </c>
      <c r="G20" s="162" t="s">
        <v>100</v>
      </c>
      <c r="H20" s="136"/>
      <c r="I20" s="136"/>
      <c r="J20" s="136"/>
      <c r="K20" s="136"/>
      <c r="L20" s="141"/>
      <c r="M20" s="138">
        <v>1</v>
      </c>
      <c r="O20" t="s">
        <v>155</v>
      </c>
      <c r="P20" s="161">
        <v>2.4390632528287944E-3</v>
      </c>
      <c r="Q20" s="161">
        <v>6.7114093959731544</v>
      </c>
    </row>
    <row r="21" spans="1:22" x14ac:dyDescent="0.25">
      <c r="A21" s="51"/>
      <c r="B21" s="134" t="s">
        <v>156</v>
      </c>
      <c r="C21" s="135">
        <v>20</v>
      </c>
      <c r="D21" s="135">
        <v>20</v>
      </c>
      <c r="E21" s="135">
        <v>20</v>
      </c>
      <c r="F21" s="135">
        <v>20</v>
      </c>
      <c r="G21" s="135">
        <v>20</v>
      </c>
      <c r="H21" s="136">
        <v>15</v>
      </c>
      <c r="I21" s="136">
        <v>25</v>
      </c>
      <c r="J21" s="136">
        <v>15</v>
      </c>
      <c r="K21" s="136">
        <v>25</v>
      </c>
      <c r="L21" s="141" t="s">
        <v>157</v>
      </c>
      <c r="M21" s="138">
        <v>1</v>
      </c>
      <c r="O21" t="s">
        <v>158</v>
      </c>
      <c r="P21" s="161">
        <v>0</v>
      </c>
      <c r="Q21" s="161">
        <v>67.382550335570471</v>
      </c>
      <c r="S21" s="163" t="s">
        <v>159</v>
      </c>
      <c r="T21" s="163"/>
      <c r="U21" s="163"/>
      <c r="V21" s="163"/>
    </row>
    <row r="22" spans="1:22" x14ac:dyDescent="0.25">
      <c r="A22" s="51"/>
      <c r="B22" s="134" t="s">
        <v>160</v>
      </c>
      <c r="C22" s="135">
        <v>2</v>
      </c>
      <c r="D22" s="135">
        <v>2</v>
      </c>
      <c r="E22" s="135">
        <v>2</v>
      </c>
      <c r="F22" s="135">
        <v>2</v>
      </c>
      <c r="G22" s="135">
        <v>2</v>
      </c>
      <c r="H22" s="136">
        <v>1</v>
      </c>
      <c r="I22" s="136">
        <v>3</v>
      </c>
      <c r="J22" s="136">
        <v>1</v>
      </c>
      <c r="K22" s="136">
        <v>3</v>
      </c>
      <c r="L22" s="141" t="s">
        <v>161</v>
      </c>
      <c r="M22" s="138"/>
      <c r="O22" t="s">
        <v>162</v>
      </c>
      <c r="P22" s="161">
        <v>1.2008799662457062E-2</v>
      </c>
      <c r="Q22" s="161">
        <v>40.268456375838923</v>
      </c>
      <c r="T22">
        <v>2030</v>
      </c>
      <c r="U22">
        <v>2040</v>
      </c>
      <c r="V22">
        <v>2050</v>
      </c>
    </row>
    <row r="23" spans="1:22" x14ac:dyDescent="0.25">
      <c r="A23" s="51" t="s">
        <v>163</v>
      </c>
      <c r="B23" s="133"/>
      <c r="C23" s="164"/>
      <c r="D23" s="164"/>
      <c r="E23" s="164"/>
      <c r="F23" s="164"/>
      <c r="G23" s="164"/>
      <c r="H23" s="164"/>
      <c r="I23" s="164"/>
      <c r="J23" s="164"/>
      <c r="K23" s="164"/>
      <c r="L23" s="127"/>
      <c r="M23" s="128"/>
      <c r="O23" t="s">
        <v>164</v>
      </c>
      <c r="P23" s="161">
        <v>1.2462465427483218E-2</v>
      </c>
      <c r="Q23" s="161">
        <v>18.859060402684563</v>
      </c>
      <c r="S23" s="53" t="s">
        <v>165</v>
      </c>
      <c r="T23" s="105">
        <f>(E65*E81*1000)/1000000</f>
        <v>6.8478623519087183</v>
      </c>
      <c r="U23" s="105">
        <f>(F65*F81*1000)/1000000</f>
        <v>5.6960094237963741</v>
      </c>
      <c r="V23" s="105">
        <f>(G65*G81*1000)/1000000</f>
        <v>5.0360913406252799</v>
      </c>
    </row>
    <row r="24" spans="1:22" x14ac:dyDescent="0.25">
      <c r="A24" s="51"/>
      <c r="B24" s="134" t="s">
        <v>166</v>
      </c>
      <c r="C24" s="135">
        <v>1.101802611906838</v>
      </c>
      <c r="D24" s="135">
        <v>1.1716568975017314</v>
      </c>
      <c r="E24" s="135">
        <v>1.0193415008265063</v>
      </c>
      <c r="F24" s="135">
        <v>0.98419179390145439</v>
      </c>
      <c r="G24" s="135">
        <v>0.92560894902636792</v>
      </c>
      <c r="H24" s="135">
        <v>0.99590836287647166</v>
      </c>
      <c r="I24" s="135">
        <v>1.347405432126991</v>
      </c>
      <c r="J24" s="135">
        <v>0.82015982825121203</v>
      </c>
      <c r="K24" s="135">
        <v>1.0427746387765411</v>
      </c>
      <c r="L24" s="141" t="s">
        <v>167</v>
      </c>
      <c r="M24" s="138">
        <v>1</v>
      </c>
      <c r="O24" t="s">
        <v>168</v>
      </c>
      <c r="P24" s="161">
        <v>0</v>
      </c>
      <c r="Q24" s="161">
        <v>34.899328859060404</v>
      </c>
      <c r="S24" t="s">
        <v>169</v>
      </c>
      <c r="T24" s="102">
        <f>T23*P14</f>
        <v>0.54949019184288783</v>
      </c>
      <c r="U24" s="102">
        <f t="shared" ref="U24:V24" si="17">U23*Q14</f>
        <v>0</v>
      </c>
      <c r="V24" s="102">
        <f t="shared" si="17"/>
        <v>0</v>
      </c>
    </row>
    <row r="25" spans="1:22" x14ac:dyDescent="0.25">
      <c r="A25" s="51"/>
      <c r="B25" s="134" t="s">
        <v>170</v>
      </c>
      <c r="C25" s="136">
        <v>0.93732551800138519</v>
      </c>
      <c r="D25" s="136">
        <v>0.99675195584267295</v>
      </c>
      <c r="E25" s="136">
        <v>0.86717420158312541</v>
      </c>
      <c r="F25" s="136">
        <v>0.83727164290784517</v>
      </c>
      <c r="G25" s="136">
        <v>0.78743404511571169</v>
      </c>
      <c r="H25" s="136">
        <v>0.84723916246627196</v>
      </c>
      <c r="I25" s="136">
        <v>1.1462647492190736</v>
      </c>
      <c r="J25" s="136">
        <v>0.69772636908987096</v>
      </c>
      <c r="K25" s="136">
        <v>0.88710924069997887</v>
      </c>
      <c r="L25" s="141" t="s">
        <v>171</v>
      </c>
      <c r="M25" s="138"/>
      <c r="O25" s="53" t="s">
        <v>172</v>
      </c>
      <c r="P25" s="165">
        <v>5.0559947255191202E-2</v>
      </c>
      <c r="Q25" s="165">
        <v>27.919463087248321</v>
      </c>
      <c r="S25" t="s">
        <v>173</v>
      </c>
      <c r="T25" s="102">
        <f>(E82*1000*E65)/1000000</f>
        <v>1.5309309917692202</v>
      </c>
      <c r="U25" s="102">
        <f>(F82*1000*F65)/1000000</f>
        <v>1.2827710817257756</v>
      </c>
      <c r="V25" s="102">
        <f>(G82*1000*G65)/1000000</f>
        <v>1.1258854098600333</v>
      </c>
    </row>
    <row r="26" spans="1:22" ht="15.75" thickBot="1" x14ac:dyDescent="0.3">
      <c r="A26" s="51"/>
      <c r="B26" s="134" t="s">
        <v>174</v>
      </c>
      <c r="C26" s="136">
        <v>0.2343313795003463</v>
      </c>
      <c r="D26" s="136">
        <v>0.24918798896066824</v>
      </c>
      <c r="E26" s="136">
        <v>0.21679355039578135</v>
      </c>
      <c r="F26" s="136">
        <v>0.20931791072696129</v>
      </c>
      <c r="G26" s="136">
        <v>0.19685851127892792</v>
      </c>
      <c r="H26" s="136">
        <v>0.21180979061656799</v>
      </c>
      <c r="I26" s="136">
        <v>0.2865661873047684</v>
      </c>
      <c r="J26" s="136">
        <v>0.17443159227246774</v>
      </c>
      <c r="K26" s="136">
        <v>0.22177731017499472</v>
      </c>
      <c r="L26" s="141" t="s">
        <v>171</v>
      </c>
      <c r="M26" s="138"/>
      <c r="O26" s="166" t="s">
        <v>175</v>
      </c>
      <c r="P26" s="166"/>
      <c r="Q26" s="167">
        <f>SUMPRODUCT(P18:P25,Q18:Q25)*O29</f>
        <v>6.5940299744251947</v>
      </c>
      <c r="S26" t="s">
        <v>176</v>
      </c>
      <c r="T26" s="102">
        <f>T25+T24</f>
        <v>2.080421183612108</v>
      </c>
      <c r="U26" s="102">
        <f t="shared" ref="U26:V26" si="18">U25+U24</f>
        <v>1.2827710817257756</v>
      </c>
      <c r="V26" s="102">
        <f t="shared" si="18"/>
        <v>1.1258854098600333</v>
      </c>
    </row>
    <row r="27" spans="1:22" ht="15.75" thickTop="1" x14ac:dyDescent="0.25">
      <c r="A27" s="51"/>
      <c r="B27" s="134" t="s">
        <v>177</v>
      </c>
      <c r="C27" s="168">
        <v>67.59035103810281</v>
      </c>
      <c r="D27" s="168">
        <v>71.87557929391852</v>
      </c>
      <c r="E27" s="168">
        <v>62.531753985709116</v>
      </c>
      <c r="F27" s="168">
        <v>60.375486606891556</v>
      </c>
      <c r="G27" s="168">
        <v>56.781707642195634</v>
      </c>
      <c r="H27" s="135">
        <v>61.09424239983074</v>
      </c>
      <c r="I27" s="135">
        <v>82.656916188006292</v>
      </c>
      <c r="J27" s="135">
        <v>50.312905505742961</v>
      </c>
      <c r="K27" s="135">
        <v>63.969265571587485</v>
      </c>
      <c r="L27" s="141" t="s">
        <v>178</v>
      </c>
      <c r="M27" s="138">
        <v>1</v>
      </c>
      <c r="O27" t="s">
        <v>179</v>
      </c>
      <c r="T27" s="102"/>
      <c r="U27" s="102"/>
      <c r="V27" s="102"/>
    </row>
    <row r="28" spans="1:22" x14ac:dyDescent="0.25">
      <c r="A28" s="51"/>
      <c r="B28" s="134" t="s">
        <v>180</v>
      </c>
      <c r="C28" s="135">
        <v>3.3564748482763309</v>
      </c>
      <c r="D28" s="168">
        <v>3.5692753536570501</v>
      </c>
      <c r="E28" s="168">
        <v>3.1052695576816336</v>
      </c>
      <c r="F28" s="168">
        <v>2.998191297071922</v>
      </c>
      <c r="G28" s="168">
        <v>2.8197275293890698</v>
      </c>
      <c r="H28" s="135">
        <v>3.0338840506084921</v>
      </c>
      <c r="I28" s="135">
        <v>4.1046666567056072</v>
      </c>
      <c r="J28" s="135">
        <v>2.498492747559935</v>
      </c>
      <c r="K28" s="135">
        <v>3.1766550647547742</v>
      </c>
      <c r="L28" s="141" t="s">
        <v>181</v>
      </c>
      <c r="M28" s="138">
        <v>1</v>
      </c>
      <c r="O28" t="s">
        <v>182</v>
      </c>
      <c r="S28" t="s">
        <v>183</v>
      </c>
      <c r="T28" s="169">
        <f>(58.69*24*(365-10))</f>
        <v>500038.8</v>
      </c>
      <c r="U28" s="169">
        <f t="shared" ref="U28:V28" si="19">(58.69*24*(365-10))</f>
        <v>500038.8</v>
      </c>
      <c r="V28" s="169">
        <f t="shared" si="19"/>
        <v>500038.8</v>
      </c>
    </row>
    <row r="29" spans="1:22" x14ac:dyDescent="0.25">
      <c r="A29" s="51"/>
      <c r="B29" s="155" t="s">
        <v>184</v>
      </c>
      <c r="C29" s="135">
        <v>2.212683673977061</v>
      </c>
      <c r="D29" s="168">
        <v>2.3529678189072065</v>
      </c>
      <c r="E29" s="168">
        <v>2.0470820024492697</v>
      </c>
      <c r="F29" s="168">
        <v>1.9764929678820533</v>
      </c>
      <c r="G29" s="168">
        <v>1.858844576936693</v>
      </c>
      <c r="H29" s="135">
        <v>2.0000226460711255</v>
      </c>
      <c r="I29" s="135">
        <v>2.7059129917432871</v>
      </c>
      <c r="J29" s="135">
        <v>1.6470774732350444</v>
      </c>
      <c r="K29" s="135">
        <v>2.0941413588274136</v>
      </c>
      <c r="L29" s="141" t="s">
        <v>185</v>
      </c>
      <c r="M29" s="138">
        <v>1</v>
      </c>
      <c r="O29">
        <f>[7]HICP!C31/[7]HICP!C24</f>
        <v>1.1932</v>
      </c>
      <c r="T29" s="102"/>
      <c r="U29" s="102"/>
      <c r="V29" s="102"/>
    </row>
    <row r="30" spans="1:22" x14ac:dyDescent="0.25">
      <c r="A30" s="51"/>
      <c r="B30" s="155" t="s">
        <v>186</v>
      </c>
      <c r="C30" s="135">
        <v>0.61565005699637931</v>
      </c>
      <c r="D30" s="168">
        <v>0.65468227060994966</v>
      </c>
      <c r="E30" s="168">
        <v>0.56957357543065623</v>
      </c>
      <c r="F30" s="168">
        <v>0.54993310731235778</v>
      </c>
      <c r="G30" s="168">
        <v>0.51719899378186029</v>
      </c>
      <c r="H30" s="135">
        <v>0.55647993001845719</v>
      </c>
      <c r="I30" s="135">
        <v>0.75288461120144212</v>
      </c>
      <c r="J30" s="135">
        <v>0.45827758942696473</v>
      </c>
      <c r="K30" s="135">
        <v>0.58266722084285527</v>
      </c>
      <c r="L30" s="141" t="s">
        <v>187</v>
      </c>
      <c r="M30" s="138">
        <v>1</v>
      </c>
      <c r="S30" t="s">
        <v>188</v>
      </c>
      <c r="T30" s="102">
        <f>(T26*1000000)/T28</f>
        <v>4.1605195109101691</v>
      </c>
      <c r="U30" s="102">
        <f t="shared" ref="U30:V30" si="20">(U26*1000000)/U28</f>
        <v>2.5653430928275478</v>
      </c>
      <c r="V30" s="102">
        <f t="shared" si="20"/>
        <v>2.2515960958630279</v>
      </c>
    </row>
    <row r="31" spans="1:22" x14ac:dyDescent="0.25">
      <c r="A31" s="51"/>
      <c r="B31" s="155" t="s">
        <v>189</v>
      </c>
      <c r="C31" s="135">
        <v>0.52814111730289115</v>
      </c>
      <c r="D31" s="168">
        <v>0.56162526413989444</v>
      </c>
      <c r="E31" s="168">
        <v>0.48861397980170812</v>
      </c>
      <c r="F31" s="168">
        <v>0.47176522187751124</v>
      </c>
      <c r="G31" s="168">
        <v>0.44368395867051658</v>
      </c>
      <c r="H31" s="135">
        <v>0</v>
      </c>
      <c r="I31" s="135">
        <v>0</v>
      </c>
      <c r="J31" s="135">
        <v>0</v>
      </c>
      <c r="K31" s="135">
        <v>0</v>
      </c>
      <c r="L31" s="141" t="s">
        <v>190</v>
      </c>
      <c r="M31" s="138">
        <v>1</v>
      </c>
    </row>
    <row r="32" spans="1:22" x14ac:dyDescent="0.25">
      <c r="A32" s="51" t="s">
        <v>191</v>
      </c>
      <c r="B32" s="59"/>
      <c r="C32" s="135"/>
      <c r="D32" s="135"/>
      <c r="E32" s="135"/>
      <c r="F32" s="135"/>
      <c r="G32" s="135"/>
      <c r="H32" s="164"/>
      <c r="I32" s="164"/>
      <c r="J32" s="154"/>
      <c r="K32" s="154"/>
      <c r="L32" s="137"/>
      <c r="M32" s="170"/>
      <c r="S32" t="s">
        <v>192</v>
      </c>
      <c r="T32" s="63">
        <f>$E$86</f>
        <v>0.91238505477385068</v>
      </c>
      <c r="U32" s="63">
        <f>$E$86</f>
        <v>0.91238505477385068</v>
      </c>
      <c r="V32" s="63">
        <f>$E$86</f>
        <v>0.91238505477385068</v>
      </c>
    </row>
    <row r="33" spans="1:23" x14ac:dyDescent="0.25">
      <c r="A33" s="51"/>
      <c r="B33" s="54" t="s">
        <v>193</v>
      </c>
      <c r="C33" s="135">
        <f>5.89</f>
        <v>5.89</v>
      </c>
      <c r="D33" s="135">
        <f>C33</f>
        <v>5.89</v>
      </c>
      <c r="E33" s="135">
        <f t="shared" ref="E33:G33" si="21">D33</f>
        <v>5.89</v>
      </c>
      <c r="F33" s="135">
        <f t="shared" si="21"/>
        <v>5.89</v>
      </c>
      <c r="G33" s="135">
        <f t="shared" si="21"/>
        <v>5.89</v>
      </c>
      <c r="H33" s="136"/>
      <c r="I33" s="136"/>
      <c r="J33" s="136"/>
      <c r="K33" s="136"/>
      <c r="L33" s="137"/>
      <c r="M33" s="138" t="s">
        <v>194</v>
      </c>
      <c r="S33" t="s">
        <v>195</v>
      </c>
      <c r="T33">
        <f>$T$32/0.27777778</f>
        <v>3.2845861709091735</v>
      </c>
      <c r="U33">
        <f t="shared" ref="U33:V33" si="22">$T$32/0.27777778</f>
        <v>3.2845861709091735</v>
      </c>
      <c r="V33">
        <f t="shared" si="22"/>
        <v>3.2845861709091735</v>
      </c>
    </row>
    <row r="34" spans="1:23" x14ac:dyDescent="0.25">
      <c r="A34" s="171"/>
      <c r="B34" s="54" t="s">
        <v>196</v>
      </c>
      <c r="C34" s="135">
        <v>52.12283287671233</v>
      </c>
      <c r="D34" s="135">
        <v>52.12283287671233</v>
      </c>
      <c r="E34" s="135">
        <v>52.12283287671233</v>
      </c>
      <c r="F34" s="135">
        <v>52.12283287671233</v>
      </c>
      <c r="G34" s="135">
        <v>52.12283287671233</v>
      </c>
      <c r="H34" s="164"/>
      <c r="I34" s="164"/>
      <c r="J34" s="154"/>
      <c r="K34" s="154"/>
      <c r="L34" s="137"/>
      <c r="M34" s="138" t="s">
        <v>194</v>
      </c>
    </row>
    <row r="35" spans="1:23" ht="15.75" thickBot="1" x14ac:dyDescent="0.3">
      <c r="A35" s="51"/>
      <c r="B35" s="54" t="s">
        <v>197</v>
      </c>
      <c r="C35" s="135">
        <v>65</v>
      </c>
      <c r="D35" s="135">
        <v>65</v>
      </c>
      <c r="E35" s="135">
        <v>65</v>
      </c>
      <c r="F35" s="135">
        <v>65</v>
      </c>
      <c r="G35" s="135">
        <v>65</v>
      </c>
      <c r="H35" s="136"/>
      <c r="I35" s="136"/>
      <c r="J35" s="136"/>
      <c r="K35" s="136"/>
      <c r="L35" s="137" t="s">
        <v>198</v>
      </c>
      <c r="M35" s="138" t="s">
        <v>116</v>
      </c>
      <c r="S35" s="150" t="s">
        <v>67</v>
      </c>
      <c r="T35" s="151">
        <f>T33+T30</f>
        <v>7.4451056818193422</v>
      </c>
      <c r="U35" s="151">
        <f t="shared" ref="U35:V35" si="23">U33+U30</f>
        <v>5.8499292637367208</v>
      </c>
      <c r="V35" s="151">
        <f t="shared" si="23"/>
        <v>5.5361822667722009</v>
      </c>
    </row>
    <row r="36" spans="1:23" ht="15.75" thickTop="1" x14ac:dyDescent="0.25">
      <c r="A36" s="171"/>
      <c r="B36" s="54" t="s">
        <v>199</v>
      </c>
      <c r="C36" s="144">
        <v>0.16</v>
      </c>
      <c r="D36" s="144">
        <v>0.16</v>
      </c>
      <c r="E36" s="144">
        <v>0.16</v>
      </c>
      <c r="F36" s="144">
        <v>0.16</v>
      </c>
      <c r="G36" s="144">
        <v>0.16</v>
      </c>
      <c r="H36" s="164"/>
      <c r="I36" s="164"/>
      <c r="J36" s="154"/>
      <c r="K36" s="154"/>
      <c r="L36" s="137" t="s">
        <v>200</v>
      </c>
      <c r="M36" s="138" t="s">
        <v>116</v>
      </c>
    </row>
    <row r="37" spans="1:23" x14ac:dyDescent="0.25">
      <c r="A37" s="171"/>
      <c r="B37" s="54" t="s">
        <v>201</v>
      </c>
      <c r="C37" s="144">
        <v>9.0000000000000011E-3</v>
      </c>
      <c r="D37" s="144">
        <v>9.0000000000000011E-3</v>
      </c>
      <c r="E37" s="144">
        <v>9.0000000000000011E-3</v>
      </c>
      <c r="F37" s="144">
        <v>9.0000000000000011E-3</v>
      </c>
      <c r="G37" s="144">
        <v>9.0000000000000011E-3</v>
      </c>
      <c r="H37" s="164"/>
      <c r="I37" s="164"/>
      <c r="J37" s="154"/>
      <c r="K37" s="154"/>
      <c r="L37" s="137"/>
      <c r="M37" s="138" t="s">
        <v>202</v>
      </c>
    </row>
    <row r="38" spans="1:23" ht="15.75" thickBot="1" x14ac:dyDescent="0.3">
      <c r="A38" s="172"/>
      <c r="B38" s="54" t="s">
        <v>203</v>
      </c>
      <c r="C38" s="135">
        <v>43.806496300965897</v>
      </c>
      <c r="D38" s="135">
        <f>C38</f>
        <v>43.806496300965897</v>
      </c>
      <c r="E38" s="135">
        <f t="shared" ref="E38:G38" si="24">D38</f>
        <v>43.806496300965897</v>
      </c>
      <c r="F38" s="135">
        <f t="shared" si="24"/>
        <v>43.806496300965897</v>
      </c>
      <c r="G38" s="136">
        <f t="shared" si="24"/>
        <v>43.806496300965897</v>
      </c>
      <c r="H38" s="136"/>
      <c r="I38" s="136"/>
      <c r="J38" s="136"/>
      <c r="K38" s="136"/>
      <c r="L38" s="137"/>
      <c r="M38" s="138">
        <v>1</v>
      </c>
      <c r="S38" s="166" t="s">
        <v>204</v>
      </c>
      <c r="T38" s="173">
        <f>T35+T19</f>
        <v>39.970027376853324</v>
      </c>
      <c r="U38" s="173">
        <f t="shared" ref="U38:V38" si="25">U35+U19</f>
        <v>37.790722930428181</v>
      </c>
      <c r="V38" s="173">
        <f t="shared" si="25"/>
        <v>36.503429219559457</v>
      </c>
    </row>
    <row r="39" spans="1:23" ht="16.5" thickTop="1" thickBot="1" x14ac:dyDescent="0.3">
      <c r="A39" s="174"/>
      <c r="B39" s="175" t="s">
        <v>205</v>
      </c>
      <c r="C39" s="176">
        <f>C38*9.97*3.6*0.055</f>
        <v>86.476652087884759</v>
      </c>
      <c r="D39" s="176">
        <f t="shared" ref="D39:G39" si="26">D38*9.97*3.6*0.055</f>
        <v>86.476652087884759</v>
      </c>
      <c r="E39" s="176">
        <f t="shared" si="26"/>
        <v>86.476652087884759</v>
      </c>
      <c r="F39" s="176">
        <f t="shared" si="26"/>
        <v>86.476652087884759</v>
      </c>
      <c r="G39" s="176">
        <f t="shared" si="26"/>
        <v>86.476652087884759</v>
      </c>
      <c r="H39" s="176"/>
      <c r="I39" s="176"/>
      <c r="J39" s="176"/>
      <c r="K39" s="176"/>
      <c r="L39" s="177"/>
      <c r="M39" s="178"/>
    </row>
    <row r="40" spans="1:23" x14ac:dyDescent="0.25">
      <c r="D40"/>
    </row>
    <row r="41" spans="1:23" ht="15.75" thickBot="1" x14ac:dyDescent="0.3">
      <c r="D41"/>
    </row>
    <row r="42" spans="1:23" x14ac:dyDescent="0.25">
      <c r="A42" s="60" t="s">
        <v>206</v>
      </c>
      <c r="B42" s="49"/>
      <c r="C42" s="49"/>
      <c r="D42" s="49"/>
      <c r="E42" s="49"/>
      <c r="F42" s="49"/>
      <c r="G42" s="49"/>
      <c r="H42" s="49"/>
      <c r="I42" s="49"/>
      <c r="J42" s="49"/>
      <c r="K42" s="49"/>
      <c r="L42" s="179"/>
    </row>
    <row r="43" spans="1:23" x14ac:dyDescent="0.25">
      <c r="A43" s="180"/>
      <c r="B43" s="181"/>
      <c r="C43" s="181"/>
      <c r="D43" s="181"/>
      <c r="E43" s="181"/>
      <c r="F43" s="181"/>
      <c r="G43" s="181"/>
      <c r="L43" s="182"/>
      <c r="O43" s="85" t="s">
        <v>207</v>
      </c>
      <c r="P43" s="117"/>
      <c r="Q43" s="117"/>
      <c r="R43" s="117"/>
      <c r="S43" s="117"/>
      <c r="T43" s="117"/>
      <c r="U43" s="117"/>
      <c r="V43" s="117"/>
      <c r="W43" s="183"/>
    </row>
    <row r="44" spans="1:23" ht="75" x14ac:dyDescent="0.25">
      <c r="A44" s="61" t="s">
        <v>208</v>
      </c>
      <c r="B44" s="62" t="s">
        <v>209</v>
      </c>
      <c r="C44" s="62" t="s">
        <v>210</v>
      </c>
      <c r="D44" s="184" t="s">
        <v>211</v>
      </c>
      <c r="L44" s="182"/>
    </row>
    <row r="45" spans="1:23" x14ac:dyDescent="0.25">
      <c r="A45" s="61" t="s">
        <v>150</v>
      </c>
      <c r="B45" s="185">
        <v>0.79800000000000004</v>
      </c>
      <c r="C45" s="185">
        <v>0.83789139679172331</v>
      </c>
      <c r="D45" s="186">
        <v>3.3557046979865772</v>
      </c>
      <c r="E45">
        <f>D45*C45</f>
        <v>2.8117160966165211</v>
      </c>
      <c r="L45" s="182"/>
      <c r="O45" s="187" t="s">
        <v>212</v>
      </c>
      <c r="P45" s="188"/>
      <c r="Q45" s="188"/>
      <c r="S45" s="131" t="s">
        <v>104</v>
      </c>
      <c r="T45" s="132"/>
      <c r="U45" s="132"/>
      <c r="V45" s="132"/>
    </row>
    <row r="46" spans="1:23" x14ac:dyDescent="0.25">
      <c r="A46" s="61" t="s">
        <v>152</v>
      </c>
      <c r="B46" s="185">
        <v>0.08</v>
      </c>
      <c r="C46" s="185">
        <v>8.4638327610316366E-2</v>
      </c>
      <c r="D46" s="186">
        <v>6.7114093959731544</v>
      </c>
      <c r="E46">
        <f t="shared" ref="E46:E52" si="27">D46*C46</f>
        <v>0.56804246718333129</v>
      </c>
      <c r="G46">
        <f>SUMPRODUCT(C45:C52,D45:D52)</f>
        <v>5.526340910513909</v>
      </c>
      <c r="L46" s="182"/>
      <c r="O46" t="s">
        <v>213</v>
      </c>
      <c r="P46">
        <v>20</v>
      </c>
      <c r="Q46" t="s">
        <v>214</v>
      </c>
      <c r="S46" s="53" t="s">
        <v>108</v>
      </c>
      <c r="T46" s="106">
        <v>2020</v>
      </c>
      <c r="U46" s="106">
        <v>2030</v>
      </c>
      <c r="V46" s="106">
        <v>2050</v>
      </c>
    </row>
    <row r="47" spans="1:23" x14ac:dyDescent="0.25">
      <c r="A47" s="61" t="s">
        <v>155</v>
      </c>
      <c r="B47" s="185">
        <v>6.0999999999999999E-2</v>
      </c>
      <c r="C47" s="185">
        <v>2.4390632528287944E-3</v>
      </c>
      <c r="D47" s="186">
        <v>6.7114093959731544</v>
      </c>
      <c r="E47">
        <f t="shared" si="27"/>
        <v>1.6369552032408016E-2</v>
      </c>
      <c r="L47" s="182"/>
      <c r="O47" t="s">
        <v>215</v>
      </c>
      <c r="P47">
        <v>60</v>
      </c>
      <c r="Q47" t="s">
        <v>45</v>
      </c>
      <c r="S47" t="s">
        <v>216</v>
      </c>
      <c r="T47" s="189">
        <f>D99</f>
        <v>20</v>
      </c>
      <c r="U47" s="189">
        <f>E99</f>
        <v>20</v>
      </c>
      <c r="V47" s="189">
        <f>F99</f>
        <v>20</v>
      </c>
    </row>
    <row r="48" spans="1:23" x14ac:dyDescent="0.25">
      <c r="A48" s="61" t="s">
        <v>158</v>
      </c>
      <c r="B48" s="185">
        <v>0</v>
      </c>
      <c r="C48" s="185">
        <v>0</v>
      </c>
      <c r="D48" s="190">
        <v>67.382550335570471</v>
      </c>
      <c r="E48">
        <f t="shared" si="27"/>
        <v>0</v>
      </c>
      <c r="L48" s="182"/>
      <c r="O48" t="s">
        <v>217</v>
      </c>
      <c r="P48">
        <v>20</v>
      </c>
      <c r="Q48" t="s">
        <v>45</v>
      </c>
      <c r="S48" s="53" t="s">
        <v>113</v>
      </c>
      <c r="T48" s="191">
        <f>D111*T47</f>
        <v>27.648399999999999</v>
      </c>
      <c r="U48" s="191">
        <f>E111*U47</f>
        <v>25.521599999999999</v>
      </c>
      <c r="V48" s="191">
        <f>F111*V47</f>
        <v>23.3948</v>
      </c>
    </row>
    <row r="49" spans="1:23" x14ac:dyDescent="0.25">
      <c r="A49" s="61" t="s">
        <v>162</v>
      </c>
      <c r="B49" s="185">
        <v>0.01</v>
      </c>
      <c r="C49" s="185">
        <v>1.2008799662457062E-2</v>
      </c>
      <c r="D49" s="190">
        <v>40.268456375838923</v>
      </c>
      <c r="E49">
        <f t="shared" si="27"/>
        <v>0.48357582533384136</v>
      </c>
      <c r="L49" s="182"/>
      <c r="O49" t="s">
        <v>218</v>
      </c>
      <c r="P49">
        <v>3</v>
      </c>
      <c r="Q49" t="s">
        <v>45</v>
      </c>
      <c r="S49" s="50" t="s">
        <v>119</v>
      </c>
      <c r="T49" s="192">
        <f>T48*$P$57</f>
        <v>2.2185791476831098</v>
      </c>
      <c r="U49" s="192">
        <f>U48*$P$57</f>
        <v>2.0479192132459474</v>
      </c>
      <c r="V49" s="192">
        <f>V48*$P$57</f>
        <v>1.8772592788087852</v>
      </c>
    </row>
    <row r="50" spans="1:23" x14ac:dyDescent="0.25">
      <c r="A50" s="61" t="s">
        <v>164</v>
      </c>
      <c r="B50" s="185">
        <v>1.6E-2</v>
      </c>
      <c r="C50" s="185">
        <v>1.2462465427483218E-2</v>
      </c>
      <c r="D50" s="190">
        <v>18.859060402684563</v>
      </c>
      <c r="E50">
        <f t="shared" si="27"/>
        <v>0.2350303882632741</v>
      </c>
      <c r="L50" s="182"/>
      <c r="O50" t="s">
        <v>219</v>
      </c>
      <c r="P50">
        <v>3</v>
      </c>
      <c r="Q50" t="s">
        <v>220</v>
      </c>
      <c r="S50" s="53" t="s">
        <v>123</v>
      </c>
      <c r="T50" s="193">
        <f>(D114*D99+D115*$P$52*T47)/1000000</f>
        <v>0.85116237439999987</v>
      </c>
      <c r="U50" s="193">
        <f>(E114*E99+E115*$P$52*U47)/1000000</f>
        <v>0.75753008947200007</v>
      </c>
      <c r="V50" s="193">
        <f>(F114*F99+F115*$P$52*V47)/1000000</f>
        <v>0.68518349951999979</v>
      </c>
    </row>
    <row r="51" spans="1:23" ht="15.75" thickBot="1" x14ac:dyDescent="0.3">
      <c r="A51" s="61" t="s">
        <v>168</v>
      </c>
      <c r="B51" s="185">
        <v>0</v>
      </c>
      <c r="C51" s="194">
        <v>0</v>
      </c>
      <c r="D51" s="190">
        <v>34.899328859060404</v>
      </c>
      <c r="E51">
        <f t="shared" si="27"/>
        <v>0</v>
      </c>
      <c r="G51">
        <f>SUM(E45:E52)</f>
        <v>5.526340910513909</v>
      </c>
      <c r="H51" t="s">
        <v>18</v>
      </c>
      <c r="L51" s="182"/>
      <c r="O51" t="s">
        <v>121</v>
      </c>
      <c r="P51">
        <v>20</v>
      </c>
      <c r="Q51" t="s">
        <v>136</v>
      </c>
      <c r="S51" s="166" t="s">
        <v>221</v>
      </c>
      <c r="T51" s="173">
        <f>T50+T49</f>
        <v>3.0697415220831097</v>
      </c>
      <c r="U51" s="173">
        <f>U50+U49</f>
        <v>2.8054493027179475</v>
      </c>
      <c r="V51" s="173">
        <f>V50+V49</f>
        <v>2.5624427783287849</v>
      </c>
    </row>
    <row r="52" spans="1:23" ht="15.75" thickTop="1" x14ac:dyDescent="0.25">
      <c r="A52" s="61" t="s">
        <v>172</v>
      </c>
      <c r="B52" s="185">
        <v>3.5000000000000003E-2</v>
      </c>
      <c r="C52" s="185">
        <v>5.0559947255191202E-2</v>
      </c>
      <c r="D52" s="190">
        <v>27.919463087248321</v>
      </c>
      <c r="E52">
        <f t="shared" si="27"/>
        <v>1.4116065810845329</v>
      </c>
      <c r="L52" s="182"/>
      <c r="O52" t="s">
        <v>222</v>
      </c>
      <c r="P52" s="104">
        <f>((24*365)-(24*7*P50))*((100-P49)/100)</f>
        <v>8008.32</v>
      </c>
      <c r="Q52" t="s">
        <v>223</v>
      </c>
    </row>
    <row r="53" spans="1:23" x14ac:dyDescent="0.25">
      <c r="A53" s="195"/>
      <c r="L53" s="182"/>
      <c r="S53" s="53" t="s">
        <v>224</v>
      </c>
      <c r="T53" s="197">
        <f>T47*$P$52*(D104/100)</f>
        <v>120124.79999999999</v>
      </c>
      <c r="U53" s="197">
        <f>U47*$P$52*(E104/100)</f>
        <v>123328.128</v>
      </c>
      <c r="V53" s="197">
        <f>V47*$P$52*(F104/100)</f>
        <v>132938.11199999999</v>
      </c>
    </row>
    <row r="54" spans="1:23" x14ac:dyDescent="0.25">
      <c r="A54" s="253" t="s">
        <v>225</v>
      </c>
      <c r="B54" s="254"/>
      <c r="C54" s="254"/>
      <c r="D54" s="254"/>
      <c r="E54" s="254"/>
      <c r="F54" s="254"/>
      <c r="G54" s="254"/>
      <c r="H54" s="254"/>
      <c r="I54" s="254"/>
      <c r="J54" s="181"/>
      <c r="K54" s="181"/>
      <c r="L54" s="182"/>
      <c r="O54" s="145" t="s">
        <v>129</v>
      </c>
      <c r="P54" s="146"/>
      <c r="Q54" s="146"/>
    </row>
    <row r="55" spans="1:23" ht="15.75" thickBot="1" x14ac:dyDescent="0.3">
      <c r="A55" s="253" t="s">
        <v>226</v>
      </c>
      <c r="B55" s="254"/>
      <c r="C55" s="254"/>
      <c r="D55" s="254"/>
      <c r="E55" s="254"/>
      <c r="F55" s="254"/>
      <c r="G55" s="254"/>
      <c r="J55" s="181"/>
      <c r="K55" s="181"/>
      <c r="L55" s="182"/>
      <c r="O55" t="s">
        <v>227</v>
      </c>
      <c r="P55">
        <v>5</v>
      </c>
      <c r="Q55" t="s">
        <v>45</v>
      </c>
      <c r="S55" s="150" t="s">
        <v>228</v>
      </c>
      <c r="T55" s="150">
        <f>(T51*1000000)/T53</f>
        <v>25.554602564025995</v>
      </c>
      <c r="U55" s="198">
        <f>(U51*1000000)/U53</f>
        <v>22.747846320329678</v>
      </c>
      <c r="V55" s="198">
        <f>(V51*1000000)/V53</f>
        <v>19.275456374232132</v>
      </c>
    </row>
    <row r="56" spans="1:23" ht="15.75" thickTop="1" x14ac:dyDescent="0.25">
      <c r="A56" s="253" t="s">
        <v>229</v>
      </c>
      <c r="B56" s="254"/>
      <c r="C56" s="254"/>
      <c r="D56" s="254"/>
      <c r="E56" s="254"/>
      <c r="F56" s="254"/>
      <c r="G56" s="254"/>
      <c r="H56" s="254"/>
      <c r="I56" s="254"/>
      <c r="J56" s="199"/>
      <c r="K56" s="199"/>
      <c r="L56" s="182"/>
      <c r="O56" t="s">
        <v>135</v>
      </c>
      <c r="P56">
        <v>20</v>
      </c>
      <c r="Q56" t="s">
        <v>136</v>
      </c>
    </row>
    <row r="57" spans="1:23" x14ac:dyDescent="0.25">
      <c r="A57" s="253" t="s">
        <v>230</v>
      </c>
      <c r="B57" s="254"/>
      <c r="C57" s="254"/>
      <c r="D57" s="254"/>
      <c r="E57" s="254"/>
      <c r="F57" s="254"/>
      <c r="G57" s="254"/>
      <c r="H57" s="254"/>
      <c r="I57" s="254"/>
      <c r="J57" s="199"/>
      <c r="K57" s="199"/>
      <c r="L57" s="182"/>
      <c r="O57" t="s">
        <v>138</v>
      </c>
      <c r="P57" s="149">
        <f>(P55/100)/(1 - POWER(1 + (P55/100),-P56))</f>
        <v>8.0242587190691314E-2</v>
      </c>
      <c r="S57" t="s">
        <v>231</v>
      </c>
      <c r="T57">
        <v>28</v>
      </c>
      <c r="U57">
        <v>28</v>
      </c>
      <c r="V57">
        <v>28</v>
      </c>
    </row>
    <row r="58" spans="1:23" ht="15.75" thickBot="1" x14ac:dyDescent="0.3">
      <c r="A58" s="200"/>
      <c r="B58" s="199"/>
      <c r="C58" s="199"/>
      <c r="D58" s="199"/>
      <c r="E58" s="199"/>
      <c r="F58" s="199"/>
      <c r="G58" s="199"/>
      <c r="H58" s="199"/>
      <c r="I58" s="199"/>
      <c r="J58" s="199"/>
      <c r="K58" s="199"/>
      <c r="L58" s="182"/>
    </row>
    <row r="59" spans="1:23" ht="15.75" thickBot="1" x14ac:dyDescent="0.3">
      <c r="A59" s="60"/>
      <c r="B59" s="49" t="s">
        <v>232</v>
      </c>
      <c r="C59" s="49"/>
      <c r="D59" s="49"/>
      <c r="E59" s="49"/>
      <c r="F59" s="49"/>
      <c r="G59" s="49"/>
      <c r="H59" s="49"/>
      <c r="I59" s="49"/>
      <c r="J59" s="49"/>
      <c r="K59" s="49"/>
      <c r="L59" s="49"/>
      <c r="M59" s="179"/>
      <c r="S59" s="150" t="s">
        <v>233</v>
      </c>
      <c r="T59" s="198">
        <f>T57+T55</f>
        <v>53.554602564025998</v>
      </c>
      <c r="U59" s="198">
        <f>U57+U55</f>
        <v>50.747846320329678</v>
      </c>
      <c r="V59" s="198">
        <f>V57+V55</f>
        <v>47.275456374232135</v>
      </c>
    </row>
    <row r="60" spans="1:23" ht="45.75" thickTop="1" x14ac:dyDescent="0.25">
      <c r="A60" s="201" t="s">
        <v>91</v>
      </c>
      <c r="B60" s="202"/>
      <c r="C60" s="203" t="s">
        <v>234</v>
      </c>
      <c r="D60" s="203"/>
      <c r="E60" s="203"/>
      <c r="F60" s="203"/>
      <c r="G60" s="203"/>
      <c r="H60" s="203"/>
      <c r="I60" s="203"/>
      <c r="J60" s="203"/>
      <c r="K60" s="203"/>
      <c r="L60" s="203"/>
      <c r="M60" s="204"/>
    </row>
    <row r="61" spans="1:23" x14ac:dyDescent="0.25">
      <c r="A61" s="112" t="s">
        <v>93</v>
      </c>
      <c r="B61" s="113"/>
      <c r="C61" s="114">
        <v>2020</v>
      </c>
      <c r="D61" s="114">
        <v>2025</v>
      </c>
      <c r="E61" s="114">
        <v>2030</v>
      </c>
      <c r="F61" s="114">
        <v>2040</v>
      </c>
      <c r="G61" s="114">
        <v>2050</v>
      </c>
      <c r="H61" s="114">
        <v>2025</v>
      </c>
      <c r="I61" s="114">
        <v>2025</v>
      </c>
      <c r="J61" s="114">
        <v>2050</v>
      </c>
      <c r="K61" s="114">
        <v>2050</v>
      </c>
      <c r="L61" s="115" t="s">
        <v>52</v>
      </c>
      <c r="M61" s="116" t="s">
        <v>94</v>
      </c>
      <c r="O61" s="117" t="s">
        <v>235</v>
      </c>
      <c r="P61" s="117"/>
      <c r="Q61" s="117"/>
      <c r="R61" s="117"/>
      <c r="S61" s="117"/>
      <c r="T61" s="117"/>
      <c r="U61" s="117"/>
      <c r="V61" s="117"/>
      <c r="W61" s="117"/>
    </row>
    <row r="62" spans="1:23" ht="15.75" thickBot="1" x14ac:dyDescent="0.3">
      <c r="A62" s="118" t="s">
        <v>96</v>
      </c>
      <c r="B62" s="119"/>
      <c r="C62" s="120" t="s">
        <v>97</v>
      </c>
      <c r="D62" s="120" t="s">
        <v>97</v>
      </c>
      <c r="E62" s="120" t="s">
        <v>97</v>
      </c>
      <c r="F62" s="120" t="s">
        <v>97</v>
      </c>
      <c r="G62" s="120" t="s">
        <v>97</v>
      </c>
      <c r="H62" s="120" t="s">
        <v>98</v>
      </c>
      <c r="I62" s="120" t="s">
        <v>99</v>
      </c>
      <c r="J62" s="120" t="s">
        <v>98</v>
      </c>
      <c r="K62" s="120" t="s">
        <v>99</v>
      </c>
      <c r="L62" s="121" t="s">
        <v>100</v>
      </c>
      <c r="M62" s="122" t="s">
        <v>100</v>
      </c>
      <c r="O62" t="s">
        <v>236</v>
      </c>
    </row>
    <row r="63" spans="1:23" x14ac:dyDescent="0.25">
      <c r="A63" s="123" t="s">
        <v>101</v>
      </c>
      <c r="B63" s="124" t="s">
        <v>102</v>
      </c>
      <c r="C63" s="125"/>
      <c r="D63" s="126"/>
      <c r="E63" s="126"/>
      <c r="F63" s="126"/>
      <c r="G63" s="126"/>
      <c r="H63" s="126"/>
      <c r="I63" s="126"/>
      <c r="J63" s="126"/>
      <c r="K63" s="126"/>
      <c r="L63" s="127"/>
      <c r="M63" s="128"/>
    </row>
    <row r="64" spans="1:23" x14ac:dyDescent="0.25">
      <c r="A64" s="172" t="s">
        <v>105</v>
      </c>
      <c r="B64" s="133"/>
      <c r="C64" s="126"/>
      <c r="D64" s="126"/>
      <c r="E64" s="126"/>
      <c r="F64" s="126"/>
      <c r="G64" s="126"/>
      <c r="H64" s="126"/>
      <c r="I64" s="126"/>
      <c r="J64" s="126"/>
      <c r="K64" s="126"/>
      <c r="L64" s="127"/>
      <c r="M64" s="128"/>
      <c r="O64" t="s">
        <v>237</v>
      </c>
    </row>
    <row r="65" spans="1:20" x14ac:dyDescent="0.25">
      <c r="A65" s="172"/>
      <c r="B65" s="134" t="s">
        <v>114</v>
      </c>
      <c r="C65" s="136">
        <v>58.687033357289543</v>
      </c>
      <c r="D65" s="136">
        <f>C65</f>
        <v>58.687033357289543</v>
      </c>
      <c r="E65" s="136">
        <f t="shared" ref="E65:G66" si="28">D65</f>
        <v>58.687033357289543</v>
      </c>
      <c r="F65" s="136">
        <f t="shared" si="28"/>
        <v>58.687033357289543</v>
      </c>
      <c r="G65" s="136">
        <f t="shared" si="28"/>
        <v>58.687033357289543</v>
      </c>
      <c r="H65" s="136"/>
      <c r="I65" s="136"/>
      <c r="J65" s="136"/>
      <c r="K65" s="136"/>
      <c r="L65" s="141"/>
      <c r="M65" s="142">
        <v>1</v>
      </c>
    </row>
    <row r="66" spans="1:20" x14ac:dyDescent="0.25">
      <c r="A66" s="172"/>
      <c r="B66" s="205" t="s">
        <v>238</v>
      </c>
      <c r="C66" s="162">
        <v>5.886362422997947</v>
      </c>
      <c r="D66" s="162">
        <f>C66</f>
        <v>5.886362422997947</v>
      </c>
      <c r="E66" s="162">
        <f t="shared" si="28"/>
        <v>5.886362422997947</v>
      </c>
      <c r="F66" s="162">
        <f t="shared" si="28"/>
        <v>5.886362422997947</v>
      </c>
      <c r="G66" s="162">
        <f t="shared" si="28"/>
        <v>5.886362422997947</v>
      </c>
      <c r="H66" s="136"/>
      <c r="I66" s="136"/>
      <c r="J66" s="136"/>
      <c r="K66" s="136"/>
      <c r="L66" s="141"/>
      <c r="M66" s="142">
        <v>1</v>
      </c>
    </row>
    <row r="67" spans="1:20" x14ac:dyDescent="0.25">
      <c r="A67" s="172"/>
      <c r="B67" s="205" t="s">
        <v>239</v>
      </c>
      <c r="C67" s="162">
        <v>51445</v>
      </c>
      <c r="D67" s="162">
        <v>51445</v>
      </c>
      <c r="E67" s="162">
        <v>51445</v>
      </c>
      <c r="F67" s="162">
        <v>51445</v>
      </c>
      <c r="G67" s="162">
        <v>51445</v>
      </c>
      <c r="H67" s="136"/>
      <c r="I67" s="136"/>
      <c r="J67" s="136"/>
      <c r="K67" s="136"/>
      <c r="L67" s="141"/>
      <c r="M67" s="142">
        <v>1</v>
      </c>
      <c r="O67" s="206" t="s">
        <v>240</v>
      </c>
      <c r="P67" s="207"/>
      <c r="Q67" s="207"/>
      <c r="R67" s="207"/>
      <c r="S67" s="207"/>
      <c r="T67" s="207"/>
    </row>
    <row r="68" spans="1:20" x14ac:dyDescent="0.25">
      <c r="A68" s="172"/>
      <c r="B68" s="208" t="s">
        <v>120</v>
      </c>
      <c r="C68" s="136"/>
      <c r="D68" s="136"/>
      <c r="E68" s="136"/>
      <c r="F68" s="136"/>
      <c r="G68" s="136"/>
      <c r="H68" s="136"/>
      <c r="I68" s="136"/>
      <c r="J68" s="136"/>
      <c r="K68" s="136"/>
      <c r="L68" s="141"/>
      <c r="M68" s="142"/>
      <c r="O68" s="209" t="s">
        <v>108</v>
      </c>
      <c r="P68" s="209"/>
      <c r="Q68" s="209"/>
      <c r="R68" s="209">
        <v>2030</v>
      </c>
      <c r="S68" s="209">
        <v>2040</v>
      </c>
      <c r="T68" s="209">
        <v>2050</v>
      </c>
    </row>
    <row r="69" spans="1:20" x14ac:dyDescent="0.25">
      <c r="A69" s="172"/>
      <c r="B69" s="134" t="s">
        <v>241</v>
      </c>
      <c r="C69" s="210">
        <v>1</v>
      </c>
      <c r="D69" s="210">
        <v>1</v>
      </c>
      <c r="E69" s="210">
        <v>1</v>
      </c>
      <c r="F69" s="210">
        <v>1</v>
      </c>
      <c r="G69" s="210">
        <v>1</v>
      </c>
      <c r="H69" s="136"/>
      <c r="I69" s="136"/>
      <c r="J69" s="136"/>
      <c r="K69" s="136"/>
      <c r="L69" s="141"/>
      <c r="M69" s="142">
        <v>1</v>
      </c>
      <c r="O69" s="50" t="s">
        <v>242</v>
      </c>
      <c r="P69" s="103"/>
      <c r="Q69" s="103"/>
      <c r="R69" s="103">
        <f>Biomethane!T38</f>
        <v>39.970027376853324</v>
      </c>
      <c r="S69" s="103">
        <f>Biomethane!U38</f>
        <v>37.790722930428181</v>
      </c>
      <c r="T69" s="103">
        <f>Biomethane!V38</f>
        <v>36.503429219559457</v>
      </c>
    </row>
    <row r="70" spans="1:20" x14ac:dyDescent="0.25">
      <c r="A70" s="172"/>
      <c r="B70" s="134" t="s">
        <v>243</v>
      </c>
      <c r="C70" s="211">
        <v>1.8923957079231783E-2</v>
      </c>
      <c r="D70" s="211">
        <f>C70</f>
        <v>1.8923957079231783E-2</v>
      </c>
      <c r="E70" s="211">
        <f>C70*0.78</f>
        <v>1.476068652180079E-2</v>
      </c>
      <c r="F70" s="211">
        <f>C70*0.695</f>
        <v>1.3152150170066088E-2</v>
      </c>
      <c r="G70" s="211">
        <f>C70*0.61</f>
        <v>1.1543613818331386E-2</v>
      </c>
      <c r="H70" s="211">
        <f>D70*0.75</f>
        <v>1.4192967809423838E-2</v>
      </c>
      <c r="I70" s="211">
        <f>C70*1.25</f>
        <v>2.3654946349039727E-2</v>
      </c>
      <c r="J70" s="211">
        <f>G70*1.25</f>
        <v>1.4429517272914232E-2</v>
      </c>
      <c r="K70" s="211">
        <f>G70*1.25</f>
        <v>1.4429517272914232E-2</v>
      </c>
      <c r="L70" s="141" t="s">
        <v>244</v>
      </c>
      <c r="M70" s="142">
        <v>1</v>
      </c>
      <c r="O70" s="53" t="s">
        <v>245</v>
      </c>
      <c r="P70" s="106"/>
      <c r="Q70" s="106"/>
      <c r="R70" s="106">
        <f>Biomethane!U59</f>
        <v>50.747846320329678</v>
      </c>
      <c r="S70" s="106">
        <f>(R70+T70)/2</f>
        <v>49.011651347280903</v>
      </c>
      <c r="T70" s="106">
        <f>Biomethane!V59</f>
        <v>47.275456374232135</v>
      </c>
    </row>
    <row r="71" spans="1:20" x14ac:dyDescent="0.25">
      <c r="A71" s="172"/>
      <c r="B71" s="205" t="s">
        <v>246</v>
      </c>
      <c r="C71" s="211">
        <v>0.10322158406853699</v>
      </c>
      <c r="D71" s="211">
        <f>C71</f>
        <v>0.10322158406853699</v>
      </c>
      <c r="E71" s="211">
        <f>C71*0.78</f>
        <v>8.0512835573458855E-2</v>
      </c>
      <c r="F71" s="211">
        <f>C71*0.695</f>
        <v>7.1739000927633204E-2</v>
      </c>
      <c r="G71" s="211">
        <f>C71*0.61</f>
        <v>6.2965166281807566E-2</v>
      </c>
      <c r="H71" s="211">
        <f>D71*0.85</f>
        <v>8.7738346458256442E-2</v>
      </c>
      <c r="I71" s="211">
        <f>C71*1.15</f>
        <v>0.11870482167881753</v>
      </c>
      <c r="J71" s="211">
        <f>G71*1.15</f>
        <v>7.2409941224078692E-2</v>
      </c>
      <c r="K71" s="211">
        <f>G71*1.15</f>
        <v>7.2409941224078692E-2</v>
      </c>
      <c r="L71" s="212" t="s">
        <v>125</v>
      </c>
      <c r="M71" s="142">
        <v>1</v>
      </c>
    </row>
    <row r="72" spans="1:20" x14ac:dyDescent="0.25">
      <c r="A72" s="172"/>
      <c r="B72" s="208" t="s">
        <v>140</v>
      </c>
      <c r="C72" s="213"/>
      <c r="D72" s="213"/>
      <c r="E72" s="213"/>
      <c r="F72" s="213"/>
      <c r="G72" s="213"/>
      <c r="H72" s="136"/>
      <c r="I72" s="136"/>
      <c r="J72" s="136"/>
      <c r="K72" s="136"/>
      <c r="L72" s="141"/>
      <c r="M72" s="142"/>
      <c r="O72" t="s">
        <v>247</v>
      </c>
    </row>
    <row r="73" spans="1:20" x14ac:dyDescent="0.25">
      <c r="A73" s="172"/>
      <c r="B73" s="214" t="s">
        <v>248</v>
      </c>
      <c r="C73" s="211">
        <v>0.99045665656451298</v>
      </c>
      <c r="D73" s="211">
        <f>C73</f>
        <v>0.99045665656451298</v>
      </c>
      <c r="E73" s="211">
        <f t="shared" ref="E73:G77" si="29">D73</f>
        <v>0.99045665656451298</v>
      </c>
      <c r="F73" s="211">
        <f t="shared" si="29"/>
        <v>0.99045665656451298</v>
      </c>
      <c r="G73" s="211">
        <f t="shared" si="29"/>
        <v>0.99045665656451298</v>
      </c>
      <c r="H73" s="136"/>
      <c r="I73" s="136"/>
      <c r="J73" s="136"/>
      <c r="K73" s="136"/>
      <c r="L73" s="141"/>
      <c r="M73" s="142">
        <v>1</v>
      </c>
      <c r="O73" s="206" t="s">
        <v>240</v>
      </c>
      <c r="P73" s="207"/>
      <c r="Q73" s="207"/>
      <c r="R73" s="207"/>
      <c r="S73" s="207"/>
      <c r="T73" s="207"/>
    </row>
    <row r="74" spans="1:20" x14ac:dyDescent="0.25">
      <c r="A74" s="172"/>
      <c r="B74" s="134" t="s">
        <v>249</v>
      </c>
      <c r="C74" s="211">
        <v>9.5433434354871283E-3</v>
      </c>
      <c r="D74" s="211">
        <f>C74</f>
        <v>9.5433434354871283E-3</v>
      </c>
      <c r="E74" s="211">
        <f t="shared" si="29"/>
        <v>9.5433434354871283E-3</v>
      </c>
      <c r="F74" s="211">
        <f t="shared" si="29"/>
        <v>9.5433434354871283E-3</v>
      </c>
      <c r="G74" s="211">
        <f t="shared" si="29"/>
        <v>9.5433434354871283E-3</v>
      </c>
      <c r="H74" s="136"/>
      <c r="I74" s="136"/>
      <c r="J74" s="136"/>
      <c r="K74" s="136"/>
      <c r="L74" s="141"/>
      <c r="M74" s="142">
        <v>1</v>
      </c>
      <c r="O74" s="209" t="s">
        <v>108</v>
      </c>
      <c r="P74" s="209"/>
      <c r="Q74" s="209"/>
      <c r="R74" s="209">
        <v>2030</v>
      </c>
      <c r="S74" s="209">
        <v>2040</v>
      </c>
      <c r="T74" s="209">
        <v>2050</v>
      </c>
    </row>
    <row r="75" spans="1:20" x14ac:dyDescent="0.25">
      <c r="A75" s="172"/>
      <c r="B75" s="134" t="s">
        <v>250</v>
      </c>
      <c r="C75" s="211">
        <v>5.268306410019398E-2</v>
      </c>
      <c r="D75" s="211">
        <f>C75</f>
        <v>5.268306410019398E-2</v>
      </c>
      <c r="E75" s="211">
        <f t="shared" si="29"/>
        <v>5.268306410019398E-2</v>
      </c>
      <c r="F75" s="211">
        <f t="shared" si="29"/>
        <v>5.268306410019398E-2</v>
      </c>
      <c r="G75" s="211">
        <f t="shared" si="29"/>
        <v>5.268306410019398E-2</v>
      </c>
      <c r="H75" s="136"/>
      <c r="I75" s="136"/>
      <c r="J75" s="136"/>
      <c r="K75" s="136"/>
      <c r="L75" s="141"/>
      <c r="M75" s="142">
        <v>1</v>
      </c>
      <c r="O75" s="50" t="s">
        <v>242</v>
      </c>
      <c r="P75" s="103"/>
      <c r="Q75" s="103"/>
      <c r="R75" s="103">
        <f>R69*[7]HICP!$B$15</f>
        <v>49.006565600400705</v>
      </c>
      <c r="S75" s="103">
        <f>S69*[7]HICP!$B$15</f>
        <v>46.334557765379138</v>
      </c>
      <c r="T75" s="103">
        <f>T69*[7]HICP!$B$15</f>
        <v>44.756229006835319</v>
      </c>
    </row>
    <row r="76" spans="1:20" ht="15" customHeight="1" x14ac:dyDescent="0.25">
      <c r="A76" s="172"/>
      <c r="B76" s="134" t="s">
        <v>251</v>
      </c>
      <c r="C76" s="136">
        <v>0.2857142857142857</v>
      </c>
      <c r="D76" s="136">
        <f>C76</f>
        <v>0.2857142857142857</v>
      </c>
      <c r="E76" s="136">
        <f t="shared" si="29"/>
        <v>0.2857142857142857</v>
      </c>
      <c r="F76" s="136">
        <f t="shared" si="29"/>
        <v>0.2857142857142857</v>
      </c>
      <c r="G76" s="136">
        <f t="shared" si="29"/>
        <v>0.2857142857142857</v>
      </c>
      <c r="H76" s="136"/>
      <c r="I76" s="136"/>
      <c r="J76" s="136"/>
      <c r="K76" s="136"/>
      <c r="L76" s="141"/>
      <c r="M76" s="142">
        <v>1</v>
      </c>
      <c r="O76" s="53" t="s">
        <v>252</v>
      </c>
      <c r="P76" s="106"/>
      <c r="Q76" s="106"/>
      <c r="R76" s="106">
        <f>R70*[7]HICP!$B$15</f>
        <v>62.221064707513825</v>
      </c>
      <c r="S76" s="106">
        <f>S70*[7]HICP!$B$15</f>
        <v>60.092345804231975</v>
      </c>
      <c r="T76" s="106">
        <f>T70*[7]HICP!$B$15</f>
        <v>57.963626900950139</v>
      </c>
    </row>
    <row r="77" spans="1:20" x14ac:dyDescent="0.25">
      <c r="A77" s="172"/>
      <c r="B77" s="134" t="s">
        <v>253</v>
      </c>
      <c r="C77" s="136">
        <v>0.2857142857142857</v>
      </c>
      <c r="D77" s="136">
        <f>C77</f>
        <v>0.2857142857142857</v>
      </c>
      <c r="E77" s="136">
        <f t="shared" si="29"/>
        <v>0.2857142857142857</v>
      </c>
      <c r="F77" s="136">
        <f t="shared" si="29"/>
        <v>0.2857142857142857</v>
      </c>
      <c r="G77" s="136">
        <f t="shared" si="29"/>
        <v>0.2857142857142857</v>
      </c>
      <c r="H77" s="136"/>
      <c r="I77" s="136"/>
      <c r="J77" s="136"/>
      <c r="K77" s="136"/>
      <c r="L77" s="141"/>
      <c r="M77" s="142">
        <v>1</v>
      </c>
    </row>
    <row r="78" spans="1:20" x14ac:dyDescent="0.25">
      <c r="A78" s="172"/>
      <c r="B78" s="134" t="s">
        <v>156</v>
      </c>
      <c r="C78" s="136">
        <v>20</v>
      </c>
      <c r="D78" s="136">
        <v>20</v>
      </c>
      <c r="E78" s="136">
        <v>20</v>
      </c>
      <c r="F78" s="136">
        <v>20</v>
      </c>
      <c r="G78" s="136">
        <v>20</v>
      </c>
      <c r="H78" s="136">
        <v>15</v>
      </c>
      <c r="I78" s="136">
        <v>25</v>
      </c>
      <c r="J78" s="136">
        <v>15</v>
      </c>
      <c r="K78" s="136">
        <v>25</v>
      </c>
      <c r="L78" s="141" t="s">
        <v>128</v>
      </c>
      <c r="M78" s="142">
        <v>1</v>
      </c>
    </row>
    <row r="79" spans="1:20" x14ac:dyDescent="0.25">
      <c r="A79" s="172"/>
      <c r="B79" s="134" t="s">
        <v>160</v>
      </c>
      <c r="C79" s="136">
        <v>1</v>
      </c>
      <c r="D79" s="136">
        <v>1</v>
      </c>
      <c r="E79" s="136">
        <v>1</v>
      </c>
      <c r="F79" s="136">
        <v>1</v>
      </c>
      <c r="G79" s="215">
        <v>1</v>
      </c>
      <c r="H79" s="136">
        <v>1</v>
      </c>
      <c r="I79" s="136">
        <v>2</v>
      </c>
      <c r="J79" s="136">
        <v>1</v>
      </c>
      <c r="K79" s="136">
        <v>2</v>
      </c>
      <c r="L79" s="141" t="s">
        <v>134</v>
      </c>
      <c r="M79" s="142">
        <v>1</v>
      </c>
      <c r="O79" t="s">
        <v>75</v>
      </c>
    </row>
    <row r="80" spans="1:20" x14ac:dyDescent="0.25">
      <c r="A80" s="172" t="s">
        <v>163</v>
      </c>
      <c r="B80" s="133"/>
      <c r="C80" s="164"/>
      <c r="D80" s="164"/>
      <c r="E80" s="164"/>
      <c r="F80" s="164"/>
      <c r="G80" s="164"/>
      <c r="H80" s="164"/>
      <c r="I80" s="164"/>
      <c r="J80" s="164"/>
      <c r="K80" s="164"/>
      <c r="L80" s="127"/>
      <c r="M80" s="128"/>
      <c r="O80" s="216" t="s">
        <v>254</v>
      </c>
      <c r="P80" s="216">
        <v>2030</v>
      </c>
      <c r="Q80" s="216">
        <v>2040</v>
      </c>
      <c r="R80" s="216">
        <v>2050</v>
      </c>
    </row>
    <row r="81" spans="1:18" x14ac:dyDescent="0.25">
      <c r="A81" s="172"/>
      <c r="B81" s="134" t="s">
        <v>255</v>
      </c>
      <c r="C81" s="213">
        <v>132.28937085189483</v>
      </c>
      <c r="D81" s="213">
        <v>140.67651696390496</v>
      </c>
      <c r="E81" s="213">
        <v>116.68441834874488</v>
      </c>
      <c r="F81" s="213">
        <v>97.057375333982023</v>
      </c>
      <c r="G81" s="213">
        <v>85.812675347982022</v>
      </c>
      <c r="H81" s="213">
        <v>119.57503941931921</v>
      </c>
      <c r="I81" s="213">
        <v>161.77799450849068</v>
      </c>
      <c r="J81" s="213">
        <v>104.10062255328967</v>
      </c>
      <c r="K81" s="213">
        <v>67.524728142674377</v>
      </c>
      <c r="L81" s="212" t="s">
        <v>256</v>
      </c>
      <c r="M81" s="217" t="s">
        <v>194</v>
      </c>
      <c r="N81" s="218"/>
      <c r="O81" t="s">
        <v>257</v>
      </c>
      <c r="P81">
        <v>420</v>
      </c>
      <c r="Q81">
        <f>(P81+R81)/2</f>
        <v>710.5</v>
      </c>
      <c r="R81">
        <v>1001</v>
      </c>
    </row>
    <row r="82" spans="1:18" x14ac:dyDescent="0.25">
      <c r="A82" s="172"/>
      <c r="B82" s="134" t="s">
        <v>258</v>
      </c>
      <c r="C82" s="213">
        <v>29.575053835941528</v>
      </c>
      <c r="D82" s="213">
        <v>31.450112249140219</v>
      </c>
      <c r="E82" s="213">
        <v>26.08635850527385</v>
      </c>
      <c r="F82" s="213">
        <v>21.857828013152449</v>
      </c>
      <c r="G82" s="213">
        <v>19.184568471975535</v>
      </c>
      <c r="H82" s="213">
        <v>26.732595411769186</v>
      </c>
      <c r="I82" s="213">
        <v>36.167629086511248</v>
      </c>
      <c r="J82" s="213">
        <v>23.27308306436376</v>
      </c>
      <c r="K82" s="213">
        <v>15.096053879587304</v>
      </c>
      <c r="L82" s="212" t="s">
        <v>256</v>
      </c>
      <c r="M82" s="142" t="s">
        <v>194</v>
      </c>
      <c r="O82" s="53" t="s">
        <v>259</v>
      </c>
      <c r="P82" s="53">
        <v>32</v>
      </c>
      <c r="Q82" s="53">
        <f>(P82+R82)/2</f>
        <v>342.5</v>
      </c>
      <c r="R82" s="53">
        <v>653</v>
      </c>
    </row>
    <row r="83" spans="1:18" x14ac:dyDescent="0.25">
      <c r="A83" s="172"/>
      <c r="B83" s="214" t="s">
        <v>260</v>
      </c>
      <c r="C83" s="213">
        <v>6.0093249978838763</v>
      </c>
      <c r="D83" s="213">
        <v>6.3903162027497133</v>
      </c>
      <c r="E83" s="213">
        <v>5.3004605550031547</v>
      </c>
      <c r="F83" s="213">
        <v>4.4412697609110507</v>
      </c>
      <c r="G83" s="213">
        <v>3.8980928836773252</v>
      </c>
      <c r="H83" s="213">
        <v>5.4317687723372563</v>
      </c>
      <c r="I83" s="213">
        <v>7.3488636331621704</v>
      </c>
      <c r="J83" s="213">
        <v>4.7288339900347882</v>
      </c>
      <c r="K83" s="213">
        <v>3.0673517773198622</v>
      </c>
      <c r="L83" s="212" t="s">
        <v>256</v>
      </c>
      <c r="M83" s="142">
        <v>1</v>
      </c>
      <c r="O83" t="s">
        <v>67</v>
      </c>
      <c r="P83">
        <f>P82+P81</f>
        <v>452</v>
      </c>
      <c r="Q83">
        <f>Q82+Q81</f>
        <v>1053</v>
      </c>
      <c r="R83">
        <f>R82+R81</f>
        <v>1654</v>
      </c>
    </row>
    <row r="84" spans="1:18" x14ac:dyDescent="0.25">
      <c r="A84" s="172"/>
      <c r="B84" s="214" t="s">
        <v>261</v>
      </c>
      <c r="C84" s="213">
        <v>12.353851498930194</v>
      </c>
      <c r="D84" s="213">
        <v>13.137085683962367</v>
      </c>
      <c r="E84" s="213">
        <v>10.896581994733952</v>
      </c>
      <c r="F84" s="213">
        <v>9.1302745503538443</v>
      </c>
      <c r="G84" s="213">
        <v>8.0136222672170447</v>
      </c>
      <c r="H84" s="213">
        <v>11.166522831368011</v>
      </c>
      <c r="I84" s="213">
        <v>15.10764853655672</v>
      </c>
      <c r="J84" s="213">
        <v>9.7214434061321509</v>
      </c>
      <c r="K84" s="213">
        <v>6.3058011283019351</v>
      </c>
      <c r="L84" s="212" t="s">
        <v>256</v>
      </c>
      <c r="M84" s="142">
        <v>1</v>
      </c>
    </row>
    <row r="85" spans="1:18" x14ac:dyDescent="0.25">
      <c r="A85" s="172"/>
      <c r="B85" s="214" t="s">
        <v>262</v>
      </c>
      <c r="C85" s="213">
        <v>11.211877339127462</v>
      </c>
      <c r="D85" s="213">
        <v>11.922710362428141</v>
      </c>
      <c r="E85" s="213">
        <v>9.8893159555367465</v>
      </c>
      <c r="F85" s="213">
        <v>8.286283701887557</v>
      </c>
      <c r="G85" s="213">
        <v>7.2728533210811666</v>
      </c>
      <c r="H85" s="213">
        <v>10.134303808063921</v>
      </c>
      <c r="I85" s="213">
        <v>13.711116916792362</v>
      </c>
      <c r="J85" s="213">
        <v>8.8228056681968248</v>
      </c>
      <c r="K85" s="213">
        <v>5.7229009739655075</v>
      </c>
      <c r="L85" s="212" t="s">
        <v>256</v>
      </c>
      <c r="M85" s="142">
        <v>1</v>
      </c>
      <c r="O85" s="219" t="s">
        <v>263</v>
      </c>
      <c r="P85" s="219">
        <v>2030</v>
      </c>
      <c r="Q85" s="219">
        <v>2040</v>
      </c>
      <c r="R85" s="219">
        <v>2050</v>
      </c>
    </row>
    <row r="86" spans="1:18" x14ac:dyDescent="0.25">
      <c r="A86" s="172"/>
      <c r="B86" s="134" t="s">
        <v>264</v>
      </c>
      <c r="C86" s="213">
        <v>1.0344041353487419</v>
      </c>
      <c r="D86" s="213">
        <v>1.0999853575298519</v>
      </c>
      <c r="E86" s="213">
        <v>0.91238505477385068</v>
      </c>
      <c r="F86" s="213">
        <v>0.76448982348324701</v>
      </c>
      <c r="G86" s="213">
        <v>0.67099106809320974</v>
      </c>
      <c r="H86" s="213">
        <v>0.93498755390037425</v>
      </c>
      <c r="I86" s="213">
        <v>1.2649831611593298</v>
      </c>
      <c r="J86" s="213">
        <v>0.81398916457209047</v>
      </c>
      <c r="K86" s="213">
        <v>0.5279929716143289</v>
      </c>
      <c r="L86" s="212" t="s">
        <v>256</v>
      </c>
      <c r="M86" s="142">
        <v>1</v>
      </c>
      <c r="N86" s="218"/>
      <c r="O86" t="s">
        <v>265</v>
      </c>
      <c r="P86" s="220">
        <f>P81/P83</f>
        <v>0.92920353982300885</v>
      </c>
      <c r="Q86" s="220">
        <f>Q81/Q83</f>
        <v>0.67473884140550811</v>
      </c>
      <c r="R86" s="220">
        <f>R81/R83</f>
        <v>0.60519951632406288</v>
      </c>
    </row>
    <row r="87" spans="1:18" x14ac:dyDescent="0.25">
      <c r="A87" s="172"/>
      <c r="B87" s="214" t="s">
        <v>266</v>
      </c>
      <c r="C87" s="213">
        <v>0.35528579594602161</v>
      </c>
      <c r="D87" s="213">
        <v>0.37781091540899936</v>
      </c>
      <c r="E87" s="213">
        <v>0.31337601940782533</v>
      </c>
      <c r="F87" s="213">
        <v>0.26257858620925451</v>
      </c>
      <c r="G87" s="213">
        <v>0.2304646583994896</v>
      </c>
      <c r="H87" s="213">
        <v>0.32113927809764942</v>
      </c>
      <c r="I87" s="213">
        <v>0.43448255272034919</v>
      </c>
      <c r="J87" s="213">
        <v>0.27958007740265955</v>
      </c>
      <c r="K87" s="213">
        <v>0.18134923939631967</v>
      </c>
      <c r="L87" s="212" t="s">
        <v>256</v>
      </c>
      <c r="M87" s="142">
        <v>1</v>
      </c>
      <c r="N87" s="218"/>
      <c r="O87" s="53" t="s">
        <v>267</v>
      </c>
      <c r="P87" s="221">
        <f>P82/P83</f>
        <v>7.0796460176991149E-2</v>
      </c>
      <c r="Q87" s="221">
        <f>Q82/Q83</f>
        <v>0.32526115859449195</v>
      </c>
      <c r="R87" s="221">
        <f>R82/R83</f>
        <v>0.39480048367593712</v>
      </c>
    </row>
    <row r="88" spans="1:18" x14ac:dyDescent="0.25">
      <c r="A88" s="172" t="s">
        <v>191</v>
      </c>
      <c r="B88" s="133"/>
      <c r="C88" s="164"/>
      <c r="D88" s="164"/>
      <c r="E88" s="164"/>
      <c r="F88" s="164"/>
      <c r="G88" s="164"/>
      <c r="H88" s="164"/>
      <c r="I88" s="164"/>
      <c r="J88" s="164"/>
      <c r="K88" s="164"/>
      <c r="L88" s="127"/>
      <c r="M88" s="128"/>
      <c r="O88" t="s">
        <v>268</v>
      </c>
    </row>
    <row r="89" spans="1:18" x14ac:dyDescent="0.25">
      <c r="A89" s="172"/>
      <c r="B89" s="134" t="s">
        <v>269</v>
      </c>
      <c r="C89" s="211">
        <v>1E-3</v>
      </c>
      <c r="D89" s="211">
        <v>1E-3</v>
      </c>
      <c r="E89" s="211">
        <v>1E-3</v>
      </c>
      <c r="F89" s="211">
        <v>1E-3</v>
      </c>
      <c r="G89" s="211">
        <v>1E-3</v>
      </c>
      <c r="H89" s="164"/>
      <c r="I89" s="164"/>
      <c r="J89" s="164"/>
      <c r="K89" s="164"/>
      <c r="L89" s="127"/>
      <c r="M89" s="142" t="s">
        <v>270</v>
      </c>
    </row>
    <row r="90" spans="1:18" x14ac:dyDescent="0.25">
      <c r="A90" s="172"/>
      <c r="B90" s="134" t="s">
        <v>271</v>
      </c>
      <c r="C90" s="222">
        <v>0.5</v>
      </c>
      <c r="D90" s="222">
        <v>0.5</v>
      </c>
      <c r="E90" s="222">
        <v>0.5</v>
      </c>
      <c r="F90" s="222">
        <v>0.5</v>
      </c>
      <c r="G90" s="222">
        <v>0.5</v>
      </c>
      <c r="H90" s="223"/>
      <c r="I90" s="223"/>
      <c r="J90" s="223"/>
      <c r="K90" s="223"/>
      <c r="L90" s="212"/>
      <c r="M90" s="142">
        <v>1</v>
      </c>
    </row>
    <row r="91" spans="1:18" x14ac:dyDescent="0.25">
      <c r="A91" s="172"/>
      <c r="B91" s="134" t="s">
        <v>272</v>
      </c>
      <c r="C91" s="136">
        <v>43.806496300965897</v>
      </c>
      <c r="D91" s="136">
        <f>C91</f>
        <v>43.806496300965897</v>
      </c>
      <c r="E91" s="136">
        <f t="shared" ref="E91:G91" si="30">D91</f>
        <v>43.806496300965897</v>
      </c>
      <c r="F91" s="136">
        <f t="shared" si="30"/>
        <v>43.806496300965897</v>
      </c>
      <c r="G91" s="136">
        <f t="shared" si="30"/>
        <v>43.806496300965897</v>
      </c>
      <c r="H91" s="136"/>
      <c r="I91" s="136"/>
      <c r="J91" s="136"/>
      <c r="K91" s="136"/>
      <c r="L91" s="141"/>
      <c r="M91" s="142">
        <v>1</v>
      </c>
    </row>
    <row r="92" spans="1:18" ht="15.75" thickBot="1" x14ac:dyDescent="0.3">
      <c r="A92" s="174"/>
      <c r="B92" s="175" t="s">
        <v>205</v>
      </c>
      <c r="C92" s="176">
        <f>C91*9.97*3.6*0.055</f>
        <v>86.476652087884759</v>
      </c>
      <c r="D92" s="176">
        <f t="shared" ref="D92:G92" si="31">D91*9.97*3.6*0.055</f>
        <v>86.476652087884759</v>
      </c>
      <c r="E92" s="176">
        <f t="shared" si="31"/>
        <v>86.476652087884759</v>
      </c>
      <c r="F92" s="176">
        <f t="shared" si="31"/>
        <v>86.476652087884759</v>
      </c>
      <c r="G92" s="176">
        <f t="shared" si="31"/>
        <v>86.476652087884759</v>
      </c>
      <c r="H92" s="176"/>
      <c r="I92" s="176"/>
      <c r="J92" s="176"/>
      <c r="K92" s="176"/>
      <c r="L92" s="177"/>
      <c r="M92" s="224">
        <v>1</v>
      </c>
      <c r="O92" t="s">
        <v>273</v>
      </c>
      <c r="P92" s="225">
        <v>0.27777780000000002</v>
      </c>
      <c r="Q92" t="s">
        <v>274</v>
      </c>
    </row>
    <row r="93" spans="1:18" ht="15.75" thickBot="1" x14ac:dyDescent="0.3">
      <c r="A93" s="226"/>
      <c r="B93" s="227"/>
      <c r="D93"/>
    </row>
    <row r="94" spans="1:18" x14ac:dyDescent="0.25">
      <c r="A94" s="228" t="s">
        <v>91</v>
      </c>
      <c r="B94" s="229"/>
      <c r="C94" s="249" t="s">
        <v>275</v>
      </c>
      <c r="D94" s="250"/>
      <c r="E94" s="250"/>
      <c r="F94" s="250"/>
      <c r="G94" s="250"/>
      <c r="H94" s="250"/>
      <c r="I94" s="250"/>
      <c r="J94" s="250"/>
      <c r="K94" s="250"/>
      <c r="L94" s="250"/>
    </row>
    <row r="95" spans="1:18" x14ac:dyDescent="0.25">
      <c r="A95" s="113" t="s">
        <v>93</v>
      </c>
      <c r="B95" s="230"/>
      <c r="C95" s="231">
        <v>2015</v>
      </c>
      <c r="D95" s="231">
        <v>2020</v>
      </c>
      <c r="E95" s="231">
        <v>2030</v>
      </c>
      <c r="F95" s="231">
        <v>2050</v>
      </c>
      <c r="G95" s="231">
        <v>2020</v>
      </c>
      <c r="H95" s="231">
        <v>2020</v>
      </c>
      <c r="I95" s="231">
        <v>2050</v>
      </c>
      <c r="J95" s="231">
        <v>2050</v>
      </c>
      <c r="K95" s="232" t="s">
        <v>52</v>
      </c>
      <c r="L95" s="232" t="s">
        <v>94</v>
      </c>
    </row>
    <row r="96" spans="1:18" ht="15.75" thickBot="1" x14ac:dyDescent="0.3">
      <c r="A96" s="233" t="s">
        <v>96</v>
      </c>
      <c r="B96" s="119"/>
      <c r="C96" s="234" t="s">
        <v>276</v>
      </c>
      <c r="D96" s="234" t="s">
        <v>276</v>
      </c>
      <c r="E96" s="234" t="s">
        <v>276</v>
      </c>
      <c r="F96" s="234" t="s">
        <v>276</v>
      </c>
      <c r="G96" s="234" t="s">
        <v>98</v>
      </c>
      <c r="H96" s="234" t="s">
        <v>99</v>
      </c>
      <c r="I96" s="234" t="s">
        <v>98</v>
      </c>
      <c r="J96" s="234" t="s">
        <v>99</v>
      </c>
      <c r="K96" s="235" t="s">
        <v>100</v>
      </c>
      <c r="L96" s="235" t="s">
        <v>100</v>
      </c>
    </row>
    <row r="97" spans="1:18" x14ac:dyDescent="0.25">
      <c r="A97" s="65" t="s">
        <v>101</v>
      </c>
      <c r="B97" s="65" t="s">
        <v>102</v>
      </c>
      <c r="C97" s="125"/>
      <c r="D97" s="66"/>
      <c r="E97" s="66"/>
      <c r="F97" s="66"/>
      <c r="G97" s="66"/>
      <c r="H97" s="66"/>
      <c r="I97" s="66"/>
      <c r="J97" s="66"/>
      <c r="K97" s="67"/>
      <c r="L97" s="67"/>
      <c r="O97" s="236" t="s">
        <v>277</v>
      </c>
      <c r="P97" s="236">
        <f>P80</f>
        <v>2030</v>
      </c>
      <c r="Q97" s="236">
        <f>Q80</f>
        <v>2040</v>
      </c>
      <c r="R97" s="236">
        <f>R80</f>
        <v>2050</v>
      </c>
    </row>
    <row r="98" spans="1:18" ht="15.75" thickBot="1" x14ac:dyDescent="0.3">
      <c r="A98" s="68" t="s">
        <v>105</v>
      </c>
      <c r="B98" s="68"/>
      <c r="C98" s="66"/>
      <c r="D98" s="66"/>
      <c r="E98" s="66"/>
      <c r="F98" s="66"/>
      <c r="G98" s="66"/>
      <c r="H98" s="66"/>
      <c r="I98" s="66"/>
      <c r="J98" s="66"/>
      <c r="K98" s="67"/>
      <c r="L98" s="67"/>
      <c r="O98" s="58"/>
      <c r="P98" s="237">
        <f>R75*P86+R76*P87</f>
        <v>49.942105360196322</v>
      </c>
      <c r="Q98" s="237">
        <f>S75*Q86+S76*Q87</f>
        <v>50.809431842593852</v>
      </c>
      <c r="R98" s="237">
        <f>T75*R86+T76*R87</f>
        <v>49.970516083532402</v>
      </c>
    </row>
    <row r="99" spans="1:18" ht="15.75" thickTop="1" x14ac:dyDescent="0.25">
      <c r="A99" s="68"/>
      <c r="B99" s="69" t="s">
        <v>278</v>
      </c>
      <c r="C99" s="70">
        <v>20</v>
      </c>
      <c r="D99" s="70">
        <v>20</v>
      </c>
      <c r="E99" s="70">
        <v>20</v>
      </c>
      <c r="F99" s="70">
        <v>20</v>
      </c>
      <c r="G99" s="70"/>
      <c r="H99" s="70"/>
      <c r="I99" s="70"/>
      <c r="J99" s="70"/>
      <c r="K99" s="72" t="s">
        <v>244</v>
      </c>
      <c r="L99" s="72" t="s">
        <v>279</v>
      </c>
    </row>
    <row r="100" spans="1:18" x14ac:dyDescent="0.25">
      <c r="A100" s="68"/>
      <c r="B100" s="238" t="s">
        <v>120</v>
      </c>
      <c r="C100" s="70"/>
      <c r="D100" s="70"/>
      <c r="E100" s="70"/>
      <c r="F100" s="70"/>
      <c r="G100" s="70"/>
      <c r="H100" s="70"/>
      <c r="I100" s="70"/>
      <c r="J100" s="70"/>
      <c r="K100" s="72"/>
      <c r="L100" s="72"/>
    </row>
    <row r="101" spans="1:18" x14ac:dyDescent="0.25">
      <c r="A101" s="68"/>
      <c r="B101" s="69" t="s">
        <v>280</v>
      </c>
      <c r="C101" s="70">
        <v>98</v>
      </c>
      <c r="D101" s="70">
        <v>98</v>
      </c>
      <c r="E101" s="70">
        <v>98</v>
      </c>
      <c r="F101" s="70">
        <v>98</v>
      </c>
      <c r="G101" s="70"/>
      <c r="H101" s="70"/>
      <c r="I101" s="70"/>
      <c r="J101" s="70"/>
      <c r="K101" s="72"/>
      <c r="L101" s="72"/>
    </row>
    <row r="102" spans="1:18" x14ac:dyDescent="0.25">
      <c r="A102" s="68"/>
      <c r="B102" s="69" t="s">
        <v>281</v>
      </c>
      <c r="C102" s="70">
        <v>2</v>
      </c>
      <c r="D102" s="70">
        <v>2</v>
      </c>
      <c r="E102" s="70">
        <v>2</v>
      </c>
      <c r="F102" s="70">
        <v>2</v>
      </c>
      <c r="G102" s="70"/>
      <c r="H102" s="70"/>
      <c r="I102" s="70"/>
      <c r="J102" s="70"/>
      <c r="K102" s="72"/>
      <c r="L102" s="72"/>
      <c r="O102" s="236" t="s">
        <v>282</v>
      </c>
      <c r="P102" s="236">
        <f>P85</f>
        <v>2030</v>
      </c>
      <c r="Q102" s="236">
        <v>2040</v>
      </c>
      <c r="R102" s="236">
        <v>2050</v>
      </c>
    </row>
    <row r="103" spans="1:18" ht="15.75" thickBot="1" x14ac:dyDescent="0.3">
      <c r="A103" s="68"/>
      <c r="B103" s="238" t="s">
        <v>140</v>
      </c>
      <c r="C103" s="70"/>
      <c r="D103" s="70"/>
      <c r="E103" s="70"/>
      <c r="F103" s="70"/>
      <c r="G103" s="70"/>
      <c r="H103" s="70"/>
      <c r="I103" s="70"/>
      <c r="J103" s="70"/>
      <c r="K103" s="72"/>
      <c r="L103" s="72"/>
      <c r="O103" s="58"/>
      <c r="P103" s="237">
        <f>P98*$P$92</f>
        <v>13.872808154323543</v>
      </c>
      <c r="Q103" s="237">
        <f>Q98*$P$92</f>
        <v>14.113732196485667</v>
      </c>
      <c r="R103" s="237">
        <f>R98*$P$92</f>
        <v>13.880700022548249</v>
      </c>
    </row>
    <row r="104" spans="1:18" ht="15.75" thickTop="1" x14ac:dyDescent="0.25">
      <c r="A104" s="68"/>
      <c r="B104" s="69" t="s">
        <v>283</v>
      </c>
      <c r="C104" s="70">
        <v>74</v>
      </c>
      <c r="D104" s="70">
        <v>75</v>
      </c>
      <c r="E104" s="70">
        <v>77</v>
      </c>
      <c r="F104" s="70">
        <v>83</v>
      </c>
      <c r="G104" s="70">
        <v>60</v>
      </c>
      <c r="H104" s="70">
        <v>80</v>
      </c>
      <c r="I104" s="70">
        <v>80</v>
      </c>
      <c r="J104" s="70">
        <v>90</v>
      </c>
      <c r="K104" s="72" t="s">
        <v>128</v>
      </c>
      <c r="L104" s="72" t="s">
        <v>284</v>
      </c>
    </row>
    <row r="105" spans="1:18" x14ac:dyDescent="0.25">
      <c r="A105" s="68"/>
      <c r="B105" s="69" t="s">
        <v>285</v>
      </c>
      <c r="C105" s="70">
        <v>10</v>
      </c>
      <c r="D105" s="70">
        <v>10</v>
      </c>
      <c r="E105" s="70">
        <v>9</v>
      </c>
      <c r="F105" s="70">
        <v>5</v>
      </c>
      <c r="G105" s="70"/>
      <c r="H105" s="70"/>
      <c r="I105" s="70"/>
      <c r="J105" s="70"/>
      <c r="K105" s="72" t="s">
        <v>125</v>
      </c>
      <c r="L105" s="72" t="s">
        <v>284</v>
      </c>
    </row>
    <row r="106" spans="1:18" x14ac:dyDescent="0.25">
      <c r="A106" s="68"/>
      <c r="B106" s="239" t="s">
        <v>286</v>
      </c>
      <c r="C106" s="70">
        <v>5</v>
      </c>
      <c r="D106" s="70">
        <v>5</v>
      </c>
      <c r="E106" s="70">
        <v>5</v>
      </c>
      <c r="F106" s="70">
        <v>5</v>
      </c>
      <c r="G106" s="70"/>
      <c r="H106" s="70"/>
      <c r="I106" s="70"/>
      <c r="J106" s="70"/>
      <c r="K106" s="72"/>
      <c r="L106" s="72" t="s">
        <v>279</v>
      </c>
      <c r="O106" s="73"/>
    </row>
    <row r="107" spans="1:18" x14ac:dyDescent="0.25">
      <c r="A107" s="68"/>
      <c r="B107" s="239" t="s">
        <v>253</v>
      </c>
      <c r="C107" s="70">
        <v>3</v>
      </c>
      <c r="D107" s="70">
        <v>3</v>
      </c>
      <c r="E107" s="70">
        <v>3</v>
      </c>
      <c r="F107" s="70">
        <v>3</v>
      </c>
      <c r="G107" s="70"/>
      <c r="H107" s="70"/>
      <c r="I107" s="70"/>
      <c r="J107" s="70"/>
      <c r="K107" s="72"/>
      <c r="L107" s="72" t="s">
        <v>279</v>
      </c>
      <c r="O107" s="73"/>
    </row>
    <row r="108" spans="1:18" x14ac:dyDescent="0.25">
      <c r="A108" s="68"/>
      <c r="B108" s="239" t="s">
        <v>156</v>
      </c>
      <c r="C108" s="70">
        <v>20</v>
      </c>
      <c r="D108" s="70">
        <v>20</v>
      </c>
      <c r="E108" s="70">
        <v>20</v>
      </c>
      <c r="F108" s="70">
        <v>20</v>
      </c>
      <c r="G108" s="70"/>
      <c r="H108" s="70"/>
      <c r="I108" s="70"/>
      <c r="J108" s="70"/>
      <c r="K108" s="72"/>
      <c r="L108" s="72" t="s">
        <v>279</v>
      </c>
      <c r="O108" s="73"/>
    </row>
    <row r="109" spans="1:18" x14ac:dyDescent="0.25">
      <c r="A109" s="68"/>
      <c r="B109" s="239" t="s">
        <v>160</v>
      </c>
      <c r="C109" s="70" t="s">
        <v>287</v>
      </c>
      <c r="D109" s="70" t="s">
        <v>287</v>
      </c>
      <c r="E109" s="70" t="s">
        <v>287</v>
      </c>
      <c r="F109" s="70" t="s">
        <v>287</v>
      </c>
      <c r="G109" s="70"/>
      <c r="H109" s="70"/>
      <c r="I109" s="70"/>
      <c r="J109" s="70"/>
      <c r="K109" s="72"/>
      <c r="L109" s="72" t="s">
        <v>279</v>
      </c>
    </row>
    <row r="110" spans="1:18" x14ac:dyDescent="0.25">
      <c r="A110" s="68" t="s">
        <v>163</v>
      </c>
      <c r="B110" s="68"/>
      <c r="C110" s="66"/>
      <c r="D110" s="66"/>
      <c r="E110" s="66"/>
      <c r="F110" s="66"/>
      <c r="G110" s="66"/>
      <c r="H110" s="66"/>
      <c r="I110" s="66"/>
      <c r="J110" s="66"/>
      <c r="K110" s="67"/>
      <c r="L110" s="67"/>
    </row>
    <row r="111" spans="1:18" x14ac:dyDescent="0.25">
      <c r="A111" s="68"/>
      <c r="B111" s="69" t="s">
        <v>288</v>
      </c>
      <c r="C111" s="240">
        <v>1.4887599999999999</v>
      </c>
      <c r="D111" s="240">
        <v>1.38242</v>
      </c>
      <c r="E111" s="240">
        <v>1.2760799999999999</v>
      </c>
      <c r="F111" s="240">
        <v>1.16974</v>
      </c>
      <c r="G111" s="240">
        <v>0.95705999999999991</v>
      </c>
      <c r="H111" s="240">
        <v>1.9141199999999998</v>
      </c>
      <c r="I111" s="240">
        <v>0.74437999999999993</v>
      </c>
      <c r="J111" s="240">
        <v>1.4887599999999999</v>
      </c>
      <c r="K111" s="72" t="s">
        <v>134</v>
      </c>
      <c r="L111" s="72" t="s">
        <v>289</v>
      </c>
    </row>
    <row r="112" spans="1:18" x14ac:dyDescent="0.25">
      <c r="A112" s="68"/>
      <c r="B112" s="69" t="s">
        <v>290</v>
      </c>
      <c r="C112" s="241" t="s">
        <v>100</v>
      </c>
      <c r="D112" s="241">
        <v>0</v>
      </c>
      <c r="E112" s="241">
        <v>0</v>
      </c>
      <c r="F112" s="241">
        <v>0</v>
      </c>
      <c r="G112" s="241">
        <v>0</v>
      </c>
      <c r="H112" s="241">
        <v>0</v>
      </c>
      <c r="I112" s="241">
        <v>0</v>
      </c>
      <c r="J112" s="241">
        <v>0</v>
      </c>
      <c r="K112" s="72">
        <v>0</v>
      </c>
      <c r="L112" s="72"/>
    </row>
    <row r="113" spans="1:12" x14ac:dyDescent="0.25">
      <c r="A113" s="68"/>
      <c r="B113" s="69" t="s">
        <v>291</v>
      </c>
      <c r="C113" s="241" t="s">
        <v>100</v>
      </c>
      <c r="D113" s="241">
        <v>0</v>
      </c>
      <c r="E113" s="241">
        <v>0</v>
      </c>
      <c r="F113" s="241">
        <v>0</v>
      </c>
      <c r="G113" s="241">
        <v>0</v>
      </c>
      <c r="H113" s="241">
        <v>0</v>
      </c>
      <c r="I113" s="241">
        <v>0</v>
      </c>
      <c r="J113" s="241">
        <v>0</v>
      </c>
      <c r="K113" s="72">
        <v>0</v>
      </c>
      <c r="L113" s="72"/>
    </row>
    <row r="114" spans="1:12" x14ac:dyDescent="0.25">
      <c r="A114" s="68"/>
      <c r="B114" s="69" t="s">
        <v>292</v>
      </c>
      <c r="C114" s="242">
        <v>22331.399999999998</v>
      </c>
      <c r="D114" s="242">
        <v>21267.999999999996</v>
      </c>
      <c r="E114" s="242">
        <v>19141.199999999997</v>
      </c>
      <c r="F114" s="242">
        <v>17227.079999999998</v>
      </c>
      <c r="G114" s="242">
        <v>15950.999999999998</v>
      </c>
      <c r="H114" s="242">
        <v>26478.659999999996</v>
      </c>
      <c r="I114" s="242">
        <v>12867.14</v>
      </c>
      <c r="J114" s="242">
        <v>21480.679999999997</v>
      </c>
      <c r="K114" s="72" t="s">
        <v>134</v>
      </c>
      <c r="L114" s="72" t="s">
        <v>289</v>
      </c>
    </row>
    <row r="115" spans="1:12" x14ac:dyDescent="0.25">
      <c r="A115" s="68"/>
      <c r="B115" s="69" t="s">
        <v>293</v>
      </c>
      <c r="C115" s="240">
        <v>2.76484</v>
      </c>
      <c r="D115" s="240">
        <v>2.6584999999999996</v>
      </c>
      <c r="E115" s="240">
        <v>2.33948</v>
      </c>
      <c r="F115" s="240">
        <v>2.1267999999999998</v>
      </c>
      <c r="G115" s="240">
        <v>1.8077799999999997</v>
      </c>
      <c r="H115" s="240">
        <v>3.5092199999999996</v>
      </c>
      <c r="I115" s="240">
        <v>1.4887599999999999</v>
      </c>
      <c r="J115" s="240">
        <v>2.8711799999999998</v>
      </c>
      <c r="K115" s="72" t="s">
        <v>134</v>
      </c>
      <c r="L115" s="72" t="s">
        <v>289</v>
      </c>
    </row>
    <row r="116" spans="1:12" x14ac:dyDescent="0.25">
      <c r="A116" s="68" t="s">
        <v>191</v>
      </c>
      <c r="B116" s="68"/>
      <c r="C116" s="243"/>
      <c r="D116" s="243"/>
      <c r="E116" s="243"/>
      <c r="F116" s="243"/>
      <c r="G116" s="70"/>
      <c r="H116" s="70"/>
      <c r="I116" s="70"/>
      <c r="J116" s="70"/>
      <c r="K116" s="72"/>
      <c r="L116" s="72"/>
    </row>
    <row r="117" spans="1:12" ht="15.75" thickBot="1" x14ac:dyDescent="0.3">
      <c r="A117" s="74"/>
      <c r="B117" s="75" t="s">
        <v>271</v>
      </c>
      <c r="C117" s="76">
        <v>20</v>
      </c>
      <c r="D117" s="76">
        <v>20</v>
      </c>
      <c r="E117" s="76">
        <v>20</v>
      </c>
      <c r="F117" s="76">
        <v>20</v>
      </c>
      <c r="G117" s="76"/>
      <c r="H117" s="76"/>
      <c r="I117" s="76"/>
      <c r="J117" s="76"/>
      <c r="K117" s="77"/>
      <c r="L117" s="77">
        <v>8</v>
      </c>
    </row>
    <row r="118" spans="1:12" x14ac:dyDescent="0.25">
      <c r="A118" s="71"/>
      <c r="B118" s="71"/>
      <c r="C118" s="71"/>
      <c r="D118" s="71"/>
      <c r="E118" s="78"/>
      <c r="F118" s="78"/>
      <c r="G118" s="78"/>
      <c r="H118" s="78"/>
      <c r="I118" s="78"/>
      <c r="J118" s="78"/>
      <c r="K118" s="78"/>
      <c r="L118" s="78"/>
    </row>
    <row r="119" spans="1:12" x14ac:dyDescent="0.25">
      <c r="A119" s="71"/>
      <c r="B119" s="71"/>
      <c r="C119" s="71"/>
      <c r="D119" s="71"/>
      <c r="E119" s="244"/>
      <c r="F119" s="244"/>
      <c r="G119" s="244"/>
      <c r="H119" s="244"/>
      <c r="I119" s="244"/>
      <c r="J119" s="244"/>
      <c r="K119" s="244"/>
      <c r="L119" s="244"/>
    </row>
    <row r="120" spans="1:12" x14ac:dyDescent="0.25">
      <c r="D120"/>
    </row>
    <row r="121" spans="1:12" x14ac:dyDescent="0.25">
      <c r="D121"/>
    </row>
    <row r="122" spans="1:12" x14ac:dyDescent="0.25">
      <c r="D122"/>
    </row>
    <row r="123" spans="1:12" x14ac:dyDescent="0.25">
      <c r="B123" s="206" t="s">
        <v>240</v>
      </c>
      <c r="C123" s="207"/>
      <c r="D123" s="207"/>
      <c r="E123" s="206">
        <v>2030</v>
      </c>
      <c r="F123" s="206">
        <v>2040</v>
      </c>
      <c r="G123" s="206">
        <v>2050</v>
      </c>
    </row>
    <row r="124" spans="1:12" x14ac:dyDescent="0.25">
      <c r="B124" s="50" t="s">
        <v>242</v>
      </c>
      <c r="C124" s="103"/>
      <c r="D124" s="103"/>
      <c r="E124" s="103">
        <f>R75</f>
        <v>49.006565600400705</v>
      </c>
      <c r="F124" s="103">
        <f t="shared" ref="F124:G125" si="32">S75</f>
        <v>46.334557765379138</v>
      </c>
      <c r="G124" s="103">
        <f t="shared" si="32"/>
        <v>44.756229006835319</v>
      </c>
    </row>
    <row r="125" spans="1:12" x14ac:dyDescent="0.25">
      <c r="B125" s="53" t="s">
        <v>252</v>
      </c>
      <c r="C125" s="106"/>
      <c r="D125" s="106"/>
      <c r="E125" s="106">
        <f>R76</f>
        <v>62.221064707513825</v>
      </c>
      <c r="F125" s="106">
        <f t="shared" si="32"/>
        <v>60.092345804231975</v>
      </c>
      <c r="G125" s="106">
        <f t="shared" si="32"/>
        <v>57.963626900950139</v>
      </c>
    </row>
    <row r="126" spans="1:12" x14ac:dyDescent="0.25">
      <c r="D126"/>
    </row>
    <row r="127" spans="1:12" x14ac:dyDescent="0.25">
      <c r="B127" s="216" t="s">
        <v>263</v>
      </c>
      <c r="C127" s="216"/>
      <c r="D127" s="216"/>
      <c r="E127" s="216">
        <v>2030</v>
      </c>
      <c r="F127" s="216">
        <v>2040</v>
      </c>
      <c r="G127" s="216">
        <v>2050</v>
      </c>
    </row>
    <row r="128" spans="1:12" x14ac:dyDescent="0.25">
      <c r="B128" t="s">
        <v>265</v>
      </c>
      <c r="D128"/>
      <c r="E128" s="57">
        <f>P86</f>
        <v>0.92920353982300885</v>
      </c>
      <c r="F128" s="57">
        <f t="shared" ref="F128:G129" si="33">Q86</f>
        <v>0.67473884140550811</v>
      </c>
      <c r="G128" s="57">
        <f t="shared" si="33"/>
        <v>0.60519951632406288</v>
      </c>
    </row>
    <row r="129" spans="2:7" x14ac:dyDescent="0.25">
      <c r="B129" s="53" t="s">
        <v>267</v>
      </c>
      <c r="C129" s="53"/>
      <c r="D129" s="53"/>
      <c r="E129" s="64">
        <f>P87</f>
        <v>7.0796460176991149E-2</v>
      </c>
      <c r="F129" s="64">
        <f t="shared" si="33"/>
        <v>0.32526115859449195</v>
      </c>
      <c r="G129" s="64">
        <f t="shared" si="33"/>
        <v>0.39480048367593712</v>
      </c>
    </row>
    <row r="130" spans="2:7" x14ac:dyDescent="0.25">
      <c r="B130" t="s">
        <v>268</v>
      </c>
      <c r="D130"/>
    </row>
    <row r="131" spans="2:7" x14ac:dyDescent="0.25">
      <c r="D131"/>
    </row>
    <row r="132" spans="2:7" x14ac:dyDescent="0.25">
      <c r="B132" s="131" t="s">
        <v>282</v>
      </c>
      <c r="C132" s="131"/>
      <c r="D132" s="131"/>
      <c r="E132" s="131">
        <v>2030</v>
      </c>
      <c r="F132" s="131">
        <v>2040</v>
      </c>
      <c r="G132" s="131">
        <v>2050</v>
      </c>
    </row>
    <row r="133" spans="2:7" ht="15.75" thickBot="1" x14ac:dyDescent="0.3">
      <c r="B133" s="58"/>
      <c r="C133" s="58"/>
      <c r="D133" s="58"/>
      <c r="E133" s="237">
        <v>13.872808154323543</v>
      </c>
      <c r="F133" s="237">
        <v>14.113732196485667</v>
      </c>
      <c r="G133" s="237">
        <v>13.880700022548249</v>
      </c>
    </row>
    <row r="134" spans="2:7" ht="15.75" thickTop="1" x14ac:dyDescent="0.25">
      <c r="D134"/>
    </row>
    <row r="135" spans="2:7" x14ac:dyDescent="0.25">
      <c r="D135"/>
    </row>
    <row r="136" spans="2:7" x14ac:dyDescent="0.25">
      <c r="D136"/>
    </row>
    <row r="137" spans="2:7" x14ac:dyDescent="0.25">
      <c r="D137"/>
    </row>
    <row r="138" spans="2:7" x14ac:dyDescent="0.25">
      <c r="D138"/>
    </row>
    <row r="139" spans="2:7" x14ac:dyDescent="0.25">
      <c r="D139"/>
    </row>
    <row r="140" spans="2:7" x14ac:dyDescent="0.25">
      <c r="D140"/>
    </row>
    <row r="141" spans="2:7" x14ac:dyDescent="0.25">
      <c r="D141"/>
    </row>
    <row r="142" spans="2:7" x14ac:dyDescent="0.25">
      <c r="D142"/>
    </row>
    <row r="143" spans="2:7" x14ac:dyDescent="0.25">
      <c r="D143"/>
    </row>
    <row r="144" spans="2:7" x14ac:dyDescent="0.25">
      <c r="D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sheetData>
  <mergeCells count="6">
    <mergeCell ref="C94:L94"/>
    <mergeCell ref="C2:M2"/>
    <mergeCell ref="A54:I54"/>
    <mergeCell ref="A55:G55"/>
    <mergeCell ref="A56:I56"/>
    <mergeCell ref="A57:I57"/>
  </mergeCells>
  <hyperlinks>
    <hyperlink ref="C94" location="INDEX" display="Gasifier, biomass, producer gas, small - medium scale" xr:uid="{0E72AEDD-F7FF-4030-B080-D93DE73725A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50c49a-ebb1-4bc8-907c-e2db70a961b0">
      <Value>3</Value>
      <Value>2</Value>
      <Value>1</Value>
    </TaxCatchAll>
    <a008c2db0ee74368aa81de714ac8c1c0 xmlns="be898b34-2cdb-4f48-b256-92c1e2e8fe35">
      <Terms xmlns="http://schemas.microsoft.com/office/infopath/2007/PartnerControls"/>
    </a008c2db0ee74368aa81de714ac8c1c0>
    <peed252cde074ba2b38deb7dc22aae20 xmlns="be898b34-2cdb-4f48-b256-92c1e2e8fe35">
      <Terms xmlns="http://schemas.microsoft.com/office/infopath/2007/PartnerControls"/>
    </peed252cde074ba2b38deb7dc22aae20>
    <MYENTSOE_SiteType xmlns="be898b34-2cdb-4f48-b256-92c1e2e8fe35">MYENTSOE</MYENTSOE_SiteType>
    <be1670b553314435b4e2a04df65b9ba3 xmlns="be898b34-2cdb-4f48-b256-92c1e2e8fe35">
      <Terms xmlns="http://schemas.microsoft.com/office/infopath/2007/PartnerControls"/>
    </be1670b553314435b4e2a04df65b9ba3>
    <k976bb961564478f9bc5cf14aebd3f24 xmlns="be898b34-2cdb-4f48-b256-92c1e2e8fe35">
      <Terms xmlns="http://schemas.microsoft.com/office/infopath/2007/PartnerControls"/>
    </k976bb961564478f9bc5cf14aebd3f24>
    <bbdb8c2a5118490e97c169bb9cec3b46 xmlns="be898b34-2cdb-4f48-b256-92c1e2e8fe35">
      <Terms xmlns="http://schemas.microsoft.com/office/infopath/2007/PartnerControls">
        <TermInfo xmlns="http://schemas.microsoft.com/office/infopath/2007/PartnerControls">
          <TermName xmlns="http://schemas.microsoft.com/office/infopath/2007/PartnerControls">Shared</TermName>
          <TermId xmlns="http://schemas.microsoft.com/office/infopath/2007/PartnerControls">04da8cfa-2b68-4725-9db5-e7b66ab623e6</TermId>
        </TermInfo>
      </Terms>
    </bbdb8c2a5118490e97c169bb9cec3b46>
    <i86e696adbd044fca2be3471278ecde4 xmlns="be898b34-2cdb-4f48-b256-92c1e2e8fe35">
      <Terms xmlns="http://schemas.microsoft.com/office/infopath/2007/PartnerControls"/>
    </i86e696adbd044fca2be3471278ecde4>
    <db10435119754d5caff9c56183b2afd8 xmlns="be898b34-2cdb-4f48-b256-92c1e2e8fe35">
      <Terms xmlns="http://schemas.microsoft.com/office/infopath/2007/PartnerControls"/>
    </db10435119754d5caff9c56183b2afd8>
    <df20a43787194556be40c7c944a85f12 xmlns="be898b34-2cdb-4f48-b256-92c1e2e8fe35">
      <Terms xmlns="http://schemas.microsoft.com/office/infopath/2007/PartnerControls">
        <TermInfo xmlns="http://schemas.microsoft.com/office/infopath/2007/PartnerControls">
          <TermName xmlns="http://schemas.microsoft.com/office/infopath/2007/PartnerControls">SDC</TermName>
          <TermId xmlns="http://schemas.microsoft.com/office/infopath/2007/PartnerControls">414c202c-9255-45c1-8290-a69e6acf8153</TermId>
        </TermInfo>
      </Terms>
    </df20a43787194556be40c7c944a85f12>
    <m6d9a4f4a2ea494db9239a66244598b0 xmlns="be898b34-2cdb-4f48-b256-92c1e2e8fe35">
      <Terms xmlns="http://schemas.microsoft.com/office/infopath/2007/PartnerControls">
        <TermInfo xmlns="http://schemas.microsoft.com/office/infopath/2007/PartnerControls">
          <TermName xmlns="http://schemas.microsoft.com/office/infopath/2007/PartnerControls">Extranet</TermName>
          <TermId xmlns="http://schemas.microsoft.com/office/infopath/2007/PartnerControls">922fc1ba-0c8d-4fbf-b30d-83722d0f30f2</TermId>
        </TermInfo>
      </Terms>
    </m6d9a4f4a2ea494db9239a66244598b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DCF9C441BC1443AF86CBB3BC50A8C6" ma:contentTypeVersion="28" ma:contentTypeDescription="Create a new document." ma:contentTypeScope="" ma:versionID="1d8a82c82f60ead04f450a052e5390b4">
  <xsd:schema xmlns:xsd="http://www.w3.org/2001/XMLSchema" xmlns:xs="http://www.w3.org/2001/XMLSchema" xmlns:p="http://schemas.microsoft.com/office/2006/metadata/properties" xmlns:ns2="be898b34-2cdb-4f48-b256-92c1e2e8fe35" xmlns:ns3="2c50c49a-ebb1-4bc8-907c-e2db70a961b0" targetNamespace="http://schemas.microsoft.com/office/2006/metadata/properties" ma:root="true" ma:fieldsID="71c0a5708ac79e9892839fccd56c9d0b" ns2:_="" ns3:_="">
    <xsd:import namespace="be898b34-2cdb-4f48-b256-92c1e2e8fe35"/>
    <xsd:import namespace="2c50c49a-ebb1-4bc8-907c-e2db70a961b0"/>
    <xsd:element name="properties">
      <xsd:complexType>
        <xsd:sequence>
          <xsd:element name="documentManagement">
            <xsd:complexType>
              <xsd:all>
                <xsd:element ref="ns2:MYENTSOE_SiteType" minOccurs="0"/>
                <xsd:element ref="ns2:m6d9a4f4a2ea494db9239a66244598b0" minOccurs="0"/>
                <xsd:element ref="ns3:TaxCatchAll" minOccurs="0"/>
                <xsd:element ref="ns2:df20a43787194556be40c7c944a85f12" minOccurs="0"/>
                <xsd:element ref="ns2:a008c2db0ee74368aa81de714ac8c1c0" minOccurs="0"/>
                <xsd:element ref="ns2:i86e696adbd044fca2be3471278ecde4" minOccurs="0"/>
                <xsd:element ref="ns2:be1670b553314435b4e2a04df65b9ba3" minOccurs="0"/>
                <xsd:element ref="ns2:k976bb961564478f9bc5cf14aebd3f24" minOccurs="0"/>
                <xsd:element ref="ns2:bbdb8c2a5118490e97c169bb9cec3b46" minOccurs="0"/>
                <xsd:element ref="ns2:peed252cde074ba2b38deb7dc22aae20" minOccurs="0"/>
                <xsd:element ref="ns2:db10435119754d5caff9c56183b2afd8"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98b34-2cdb-4f48-b256-92c1e2e8fe35" elementFormDefault="qualified">
    <xsd:import namespace="http://schemas.microsoft.com/office/2006/documentManagement/types"/>
    <xsd:import namespace="http://schemas.microsoft.com/office/infopath/2007/PartnerControls"/>
    <xsd:element name="MYENTSOE_SiteType" ma:index="8" nillable="true" ma:displayName="MYENTSOE_SiteType" ma:internalName="MYENTSOE_SiteType">
      <xsd:simpleType>
        <xsd:restriction base="dms:Text"/>
      </xsd:simpleType>
    </xsd:element>
    <xsd:element name="m6d9a4f4a2ea494db9239a66244598b0" ma:index="10" nillable="true" ma:taxonomy="true" ma:internalName="m6d9a4f4a2ea494db9239a66244598b0" ma:taxonomyFieldName="MYENTSOE_PublicType" ma:displayName="Public Type" ma:default="-1;#Extranet|922fc1ba-0c8d-4fbf-b30d-83722d0f30f2" ma:fieldId="{66d9a4f4-a2ea-494d-b923-9a66244598b0}" ma:sspId="0cf2b176-d4dc-4d18-8c95-51f9f2dafcd3" ma:termSetId="a0d7c562-4a8e-458a-9f8a-6a29e3d3b260" ma:anchorId="00000000-0000-0000-0000-000000000000" ma:open="false" ma:isKeyword="false">
      <xsd:complexType>
        <xsd:sequence>
          <xsd:element ref="pc:Terms" minOccurs="0" maxOccurs="1"/>
        </xsd:sequence>
      </xsd:complexType>
    </xsd:element>
    <xsd:element name="df20a43787194556be40c7c944a85f12" ma:index="13" nillable="true" ma:taxonomy="true" ma:internalName="df20a43787194556be40c7c944a85f12" ma:taxonomyFieldName="MYENTSOE_Section" ma:displayName="Section" ma:default="-1;#SDC|414c202c-9255-45c1-8290-a69e6acf8153" ma:fieldId="{df20a437-8719-4556-be40-c7c944a85f12}" ma:sspId="0cf2b176-d4dc-4d18-8c95-51f9f2dafcd3" ma:termSetId="ca6f290f-ffad-40e7-8c84-e8889b665443" ma:anchorId="00000000-0000-0000-0000-000000000000" ma:open="false" ma:isKeyword="false">
      <xsd:complexType>
        <xsd:sequence>
          <xsd:element ref="pc:Terms" minOccurs="0" maxOccurs="1"/>
        </xsd:sequence>
      </xsd:complexType>
    </xsd:element>
    <xsd:element name="a008c2db0ee74368aa81de714ac8c1c0" ma:index="15" nillable="true" ma:taxonomy="true" ma:internalName="a008c2db0ee74368aa81de714ac8c1c0" ma:taxonomyFieldName="MYENTSOE_Classification1" ma:displayName="Classification 1" ma:fieldId="{a008c2db-0ee7-4368-aa81-de714ac8c1c0}"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i86e696adbd044fca2be3471278ecde4" ma:index="17" nillable="true" ma:taxonomy="true" ma:internalName="i86e696adbd044fca2be3471278ecde4" ma:taxonomyFieldName="MYENTSOE_Classification2" ma:displayName="Classification 2" ma:fieldId="{286e696a-dbd0-44fc-a2be-3471278ecde4}"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e1670b553314435b4e2a04df65b9ba3" ma:index="19" nillable="true" ma:taxonomy="true" ma:internalName="be1670b553314435b4e2a04df65b9ba3" ma:taxonomyFieldName="MYENTSOE_Classification3" ma:displayName="Classification 3" ma:fieldId="{be1670b5-5331-4435-b4e2-a04df65b9ba3}"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k976bb961564478f9bc5cf14aebd3f24" ma:index="21" nillable="true" ma:taxonomy="true" ma:internalName="k976bb961564478f9bc5cf14aebd3f24" ma:taxonomyFieldName="MYENTSOE_Classification4" ma:displayName="Classification 4" ma:fieldId="{4976bb96-1564-478f-9bc5-cf14aebd3f24}"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bdb8c2a5118490e97c169bb9cec3b46" ma:index="23" nillable="true" ma:taxonomy="true" ma:internalName="bbdb8c2a5118490e97c169bb9cec3b46" ma:taxonomyFieldName="MYENTSOE_SharingType" ma:displayName="Sharing Type" ma:default="-1;#Shared|04da8cfa-2b68-4725-9db5-e7b66ab623e6" ma:fieldId="{bbdb8c2a-5118-490e-97c1-69bb9cec3b46}" ma:sspId="0cf2b176-d4dc-4d18-8c95-51f9f2dafcd3" ma:termSetId="09b229b3-e0b6-423a-b819-7f93001a6e2a" ma:anchorId="00000000-0000-0000-0000-000000000000" ma:open="false" ma:isKeyword="false">
      <xsd:complexType>
        <xsd:sequence>
          <xsd:element ref="pc:Terms" minOccurs="0" maxOccurs="1"/>
        </xsd:sequence>
      </xsd:complexType>
    </xsd:element>
    <xsd:element name="peed252cde074ba2b38deb7dc22aae20" ma:index="25" nillable="true" ma:taxonomy="true" ma:internalName="peed252cde074ba2b38deb7dc22aae20" ma:taxonomyFieldName="MYENTSOE_DataClassification" ma:displayName="Data classification" ma:fieldId="{9eed252c-de07-4ba2-b38d-eb7dc22aae20}" ma:sspId="0cf2b176-d4dc-4d18-8c95-51f9f2dafcd3" ma:termSetId="ed1fa8aa-003c-40ab-bfad-ae0429370d98" ma:anchorId="00000000-0000-0000-0000-000000000000" ma:open="false" ma:isKeyword="false">
      <xsd:complexType>
        <xsd:sequence>
          <xsd:element ref="pc:Terms" minOccurs="0" maxOccurs="1"/>
        </xsd:sequence>
      </xsd:complexType>
    </xsd:element>
    <xsd:element name="db10435119754d5caff9c56183b2afd8" ma:index="27" nillable="true" ma:taxonomy="true" ma:internalName="db10435119754d5caff9c56183b2afd8" ma:taxonomyFieldName="MYENTSOE_DocumentClassification" ma:displayName="Document classification" ma:fieldId="{db104351-1975-4d5c-aff9-c56183b2afd8}" ma:sspId="0cf2b176-d4dc-4d18-8c95-51f9f2dafcd3" ma:termSetId="8b91b5eb-b01b-44d4-a921-6f52ae5aec30" ma:anchorId="00000000-0000-0000-0000-000000000000" ma:open="false" ma:isKeyword="false">
      <xsd:complexType>
        <xsd:sequence>
          <xsd:element ref="pc:Terms" minOccurs="0" maxOccurs="1"/>
        </xsd:sequence>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50c49a-ebb1-4bc8-907c-e2db70a961b0"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c9dd1af-032a-44d6-8cec-351c62d1435c}" ma:internalName="TaxCatchAll" ma:showField="CatchAllData" ma:web="2c50c49a-ebb1-4bc8-907c-e2db70a961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3995EE-D936-43D7-81D7-51AE3B58E927}">
  <ds:schemaRefs>
    <ds:schemaRef ds:uri="http://schemas.microsoft.com/office/2006/metadata/properties"/>
    <ds:schemaRef ds:uri="http://schemas.microsoft.com/office/infopath/2007/PartnerControls"/>
    <ds:schemaRef ds:uri="2c50c49a-ebb1-4bc8-907c-e2db70a961b0"/>
    <ds:schemaRef ds:uri="be898b34-2cdb-4f48-b256-92c1e2e8fe35"/>
  </ds:schemaRefs>
</ds:datastoreItem>
</file>

<file path=customXml/itemProps2.xml><?xml version="1.0" encoding="utf-8"?>
<ds:datastoreItem xmlns:ds="http://schemas.openxmlformats.org/officeDocument/2006/customXml" ds:itemID="{B58AD332-4008-4D50-A02A-7E05FF285A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898b34-2cdb-4f48-b256-92c1e2e8fe35"/>
    <ds:schemaRef ds:uri="2c50c49a-ebb1-4bc8-907c-e2db70a961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672EAA-8CB4-43C8-905A-AFBADF412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Commodity Prices</vt:lpstr>
      <vt:lpstr>SMR Cost</vt:lpstr>
      <vt:lpstr>SMR Cost_Sources</vt:lpstr>
      <vt:lpstr>Gasblend</vt:lpstr>
      <vt:lpstr>Biomethane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Mads Boesen</dc:creator>
  <cp:keywords/>
  <dc:description/>
  <cp:lastModifiedBy>Alexandra Kiss</cp:lastModifiedBy>
  <cp:revision/>
  <dcterms:created xsi:type="dcterms:W3CDTF">2025-05-27T09:17:18Z</dcterms:created>
  <dcterms:modified xsi:type="dcterms:W3CDTF">2026-02-04T09:35:23Z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0x01010018DCF9C441BC1443AF86CBB3BC50A8C6</vt:lpwstr>
  </property>
  <property fmtid="{D5CDD505-2E9C-101B-9397-08002B2CF9AE}" pid="3" name="MediaServiceImageTags">
    <vt:lpwstr/>
  </property>
  <property fmtid="{D5CDD505-2E9C-101B-9397-08002B2CF9AE}" pid="4" name="MYENTSOE_Classification2">
    <vt:lpwstr/>
  </property>
  <property fmtid="{D5CDD505-2E9C-101B-9397-08002B2CF9AE}" pid="5" name="MYENTSOE_Classification3">
    <vt:lpwstr/>
  </property>
  <property fmtid="{D5CDD505-2E9C-101B-9397-08002B2CF9AE}" pid="6" name="MYENTSOE_PublicType">
    <vt:lpwstr>1;#Extranet|922fc1ba-0c8d-4fbf-b30d-83722d0f30f2</vt:lpwstr>
  </property>
  <property fmtid="{D5CDD505-2E9C-101B-9397-08002B2CF9AE}" pid="7" name="MYENTSOE_SharingType">
    <vt:lpwstr>3;#Shared|04da8cfa-2b68-4725-9db5-e7b66ab623e6</vt:lpwstr>
  </property>
  <property fmtid="{D5CDD505-2E9C-101B-9397-08002B2CF9AE}" pid="8" name="MYENTSOE_DocumentClassification">
    <vt:lpwstr/>
  </property>
  <property fmtid="{D5CDD505-2E9C-101B-9397-08002B2CF9AE}" pid="9" name="MYENTSOE_Classification1">
    <vt:lpwstr/>
  </property>
  <property fmtid="{D5CDD505-2E9C-101B-9397-08002B2CF9AE}" pid="10" name="MYENTSOE_Section">
    <vt:lpwstr>2;#SDC|414c202c-9255-45c1-8290-a69e6acf8153</vt:lpwstr>
  </property>
  <property fmtid="{D5CDD505-2E9C-101B-9397-08002B2CF9AE}" pid="11" name="MYENTSOE_Classification4">
    <vt:lpwstr/>
  </property>
  <property fmtid="{D5CDD505-2E9C-101B-9397-08002B2CF9AE}" pid="12" name="MYENTSOE_DataClassification">
    <vt:lpwstr/>
  </property>
</Properties>
</file>