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https://entsogeu.sharepoint.com/sites/ALL/ALL/ENTSOG SysDev Area/TYNDP/_TYNDP_2024/Project Portal and Project Collection/Documentation KIT/Forms/"/>
    </mc:Choice>
  </mc:AlternateContent>
  <xr:revisionPtr revIDLastSave="54" documentId="13_ncr:1_{F4FFD0B4-285A-4128-AD9E-1D21E263D395}" xr6:coauthVersionLast="47" xr6:coauthVersionMax="47" xr10:uidLastSave="{E6F4652C-F789-4AD4-B062-BB9E26ACF3A0}"/>
  <bookViews>
    <workbookView xWindow="-120" yWindow="-120" windowWidth="29040" windowHeight="15720" activeTab="1" xr2:uid="{00000000-000D-0000-FFFF-FFFF00000000}"/>
  </bookViews>
  <sheets>
    <sheet name="Read me" sheetId="3" r:id="rId1"/>
    <sheet name="Point Form" sheetId="1" r:id="rId2"/>
    <sheet name="Actions ENTSOG_Don't delete" sheetId="4" r:id="rId3"/>
    <sheet name="Info - Point Validity" sheetId="5" state="hidden" r:id="rId4"/>
    <sheet name="Point Validity Simulator" sheetId="6" state="hidden" r:id="rId5"/>
    <sheet name="Metadata" sheetId="2" r:id="rId6"/>
  </sheets>
  <definedNames>
    <definedName name="AdjacentGasSystem">'Point Form'!$C$80</definedName>
    <definedName name="AdjacentTSO">'Point Form'!$C$79</definedName>
    <definedName name="CommerciallySince">'Point Form'!$C$50</definedName>
    <definedName name="CommissioningDate">'Point Form'!$C$40</definedName>
    <definedName name="dataCollectionCloseDate">'Point Validity Simulator'!#REF!</definedName>
    <definedName name="EIC">'Point Form'!$C$68</definedName>
    <definedName name="HomeGasSystem">'Point Form'!$C$77</definedName>
    <definedName name="IsCommerciallySince">'Point Form'!$C$62</definedName>
    <definedName name="IsCrossBorder">'Point Form'!$C$26</definedName>
    <definedName name="IsOperationallySince">'Point Form'!$C$63</definedName>
    <definedName name="isPipeInPipe">'Point Form'!$C$69</definedName>
    <definedName name="IsRedundant">'Point Form'!$C$71</definedName>
    <definedName name="IsRelevant">'Point Form'!$C$67</definedName>
    <definedName name="IsSingleOperator">'Point Form'!$C$78</definedName>
    <definedName name="IsVirtual">'Point Form'!$C$48</definedName>
    <definedName name="MapInfo">'Point Form'!$C$39</definedName>
    <definedName name="OperationallySince">'Point Form'!$C$51</definedName>
    <definedName name="PipeInPipeDriver">'Point Form'!$C$70</definedName>
    <definedName name="PointDirection">'Point Form'!$C$76</definedName>
    <definedName name="PointName">'Point Form'!$C$38</definedName>
    <definedName name="PointType">'Point Form'!$C$29</definedName>
    <definedName name="publicationFirstDate">'Point Validity Simulator'!$B$23</definedName>
    <definedName name="RedundantOperator">'Point Form'!$C$72</definedName>
    <definedName name="RequestDate">'Point Form'!$B$16</definedName>
    <definedName name="TSO">'Point Form'!$B$15</definedName>
    <definedName name="valueTypeClass">'Point Validity Simulator'!$B$11</definedName>
    <definedName name="VirtualPoint">'Point Form'!$C$49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 l="1"/>
  <c r="D62" i="1"/>
  <c r="D63" i="1"/>
  <c r="D22" i="1"/>
  <c r="D20" i="1"/>
  <c r="N14" i="6"/>
  <c r="O14" i="6" s="1"/>
  <c r="P14" i="6" s="1"/>
  <c r="Q14" i="6" s="1"/>
  <c r="R14" i="6" s="1"/>
  <c r="S14" i="6" s="1"/>
  <c r="T14" i="6" s="1"/>
  <c r="U14" i="6" s="1"/>
  <c r="V14" i="6" s="1"/>
  <c r="W14" i="6" s="1"/>
  <c r="X14" i="6" s="1"/>
  <c r="Y14" i="6" s="1"/>
  <c r="Z14" i="6" s="1"/>
  <c r="AA14" i="6" s="1"/>
  <c r="AB14" i="6" s="1"/>
  <c r="AC14" i="6" s="1"/>
  <c r="AD14" i="6" s="1"/>
  <c r="AE14" i="6" s="1"/>
  <c r="AF14" i="6" s="1"/>
  <c r="AG14" i="6" s="1"/>
  <c r="AH14" i="6" s="1"/>
  <c r="AH19" i="6" l="1"/>
  <c r="AG19" i="6"/>
  <c r="AF19" i="6"/>
  <c r="AE19" i="6"/>
  <c r="AD19" i="6"/>
  <c r="AC19" i="6"/>
  <c r="AB19" i="6"/>
  <c r="AA19" i="6"/>
  <c r="Z19" i="6"/>
  <c r="Y19" i="6"/>
  <c r="X19" i="6"/>
  <c r="W19" i="6"/>
  <c r="V19" i="6"/>
  <c r="U19" i="6"/>
  <c r="T19" i="6"/>
  <c r="S19" i="6"/>
  <c r="R19" i="6"/>
  <c r="Q19" i="6"/>
  <c r="P19" i="6"/>
  <c r="O19" i="6"/>
  <c r="N19" i="6"/>
  <c r="AH18" i="6"/>
  <c r="AG18" i="6"/>
  <c r="AF18" i="6"/>
  <c r="AE18" i="6"/>
  <c r="AD18" i="6"/>
  <c r="AC18" i="6"/>
  <c r="AB18" i="6"/>
  <c r="AA18" i="6"/>
  <c r="Z18" i="6"/>
  <c r="Y18" i="6"/>
  <c r="X18" i="6"/>
  <c r="W18" i="6"/>
  <c r="V18" i="6"/>
  <c r="U18" i="6"/>
  <c r="T18" i="6"/>
  <c r="S18" i="6"/>
  <c r="R18" i="6"/>
  <c r="Q18" i="6"/>
  <c r="P18" i="6"/>
  <c r="O18" i="6"/>
  <c r="N18" i="6"/>
  <c r="AH17" i="6"/>
  <c r="AG17" i="6"/>
  <c r="AF17" i="6"/>
  <c r="AE17" i="6"/>
  <c r="AD17" i="6"/>
  <c r="AC17" i="6"/>
  <c r="AB17" i="6"/>
  <c r="AA17" i="6"/>
  <c r="Z17" i="6"/>
  <c r="Y17" i="6"/>
  <c r="X17" i="6"/>
  <c r="W17" i="6"/>
  <c r="V17" i="6"/>
  <c r="U17" i="6"/>
  <c r="T17" i="6"/>
  <c r="S17" i="6"/>
  <c r="R17" i="6"/>
  <c r="Q17" i="6"/>
  <c r="P17" i="6"/>
  <c r="O17" i="6"/>
  <c r="N17" i="6"/>
  <c r="AH16" i="6"/>
  <c r="AG16" i="6"/>
  <c r="AF16" i="6"/>
  <c r="AE16" i="6"/>
  <c r="AD16" i="6"/>
  <c r="AC16" i="6"/>
  <c r="AB16" i="6"/>
  <c r="AA16" i="6"/>
  <c r="Z16" i="6"/>
  <c r="Y16" i="6"/>
  <c r="X16" i="6"/>
  <c r="W16" i="6"/>
  <c r="V16" i="6"/>
  <c r="U16" i="6"/>
  <c r="T16" i="6"/>
  <c r="S16" i="6"/>
  <c r="R16" i="6"/>
  <c r="Q16" i="6"/>
  <c r="P16" i="6"/>
  <c r="O16" i="6"/>
  <c r="N16" i="6"/>
  <c r="M15" i="6"/>
  <c r="L15" i="6"/>
  <c r="AH28" i="6"/>
  <c r="AG28" i="6"/>
  <c r="AF28" i="6"/>
  <c r="AE28" i="6"/>
  <c r="AD28" i="6"/>
  <c r="AC28" i="6"/>
  <c r="AB28" i="6"/>
  <c r="AA28" i="6"/>
  <c r="Z28" i="6"/>
  <c r="Y28" i="6"/>
  <c r="X28" i="6"/>
  <c r="W28" i="6"/>
  <c r="V28" i="6"/>
  <c r="U28" i="6"/>
  <c r="T28" i="6"/>
  <c r="S28" i="6"/>
  <c r="R28" i="6"/>
  <c r="Q28" i="6"/>
  <c r="P28" i="6"/>
  <c r="O28" i="6"/>
  <c r="N28" i="6"/>
  <c r="AH27" i="6"/>
  <c r="AG27" i="6"/>
  <c r="AF27" i="6"/>
  <c r="AE27" i="6"/>
  <c r="AD27" i="6"/>
  <c r="AC27" i="6"/>
  <c r="AB27" i="6"/>
  <c r="AA27" i="6"/>
  <c r="Z27" i="6"/>
  <c r="Y27" i="6"/>
  <c r="X27" i="6"/>
  <c r="W27" i="6"/>
  <c r="V27" i="6"/>
  <c r="U27" i="6"/>
  <c r="T27" i="6"/>
  <c r="S27" i="6"/>
  <c r="R27" i="6"/>
  <c r="Q27" i="6"/>
  <c r="P27" i="6"/>
  <c r="O27" i="6"/>
  <c r="N27" i="6"/>
  <c r="AH26" i="6"/>
  <c r="AG26" i="6"/>
  <c r="AF26" i="6"/>
  <c r="AE26" i="6"/>
  <c r="AD26" i="6"/>
  <c r="AC26" i="6"/>
  <c r="AB26" i="6"/>
  <c r="AA26" i="6"/>
  <c r="Z26" i="6"/>
  <c r="Y26" i="6"/>
  <c r="X26" i="6"/>
  <c r="W26" i="6"/>
  <c r="V26" i="6"/>
  <c r="U26" i="6"/>
  <c r="T26" i="6"/>
  <c r="S26" i="6"/>
  <c r="R26" i="6"/>
  <c r="Q26" i="6"/>
  <c r="P26" i="6"/>
  <c r="O26" i="6"/>
  <c r="N26" i="6"/>
  <c r="O15" i="6" l="1"/>
  <c r="S15" i="6"/>
  <c r="AE15" i="6"/>
  <c r="AH15" i="6"/>
  <c r="W15" i="6"/>
  <c r="AA15" i="6"/>
  <c r="P15" i="6"/>
  <c r="T15" i="6"/>
  <c r="X15" i="6"/>
  <c r="AB15" i="6"/>
  <c r="AF15" i="6"/>
  <c r="Q15" i="6"/>
  <c r="U15" i="6"/>
  <c r="Y15" i="6"/>
  <c r="AC15" i="6"/>
  <c r="AG15" i="6"/>
  <c r="N15" i="6"/>
  <c r="R15" i="6"/>
  <c r="V15" i="6"/>
  <c r="Z15" i="6"/>
  <c r="AD15" i="6"/>
  <c r="D41" i="1"/>
  <c r="A91" i="4" l="1"/>
  <c r="A90" i="4"/>
  <c r="A89" i="4"/>
  <c r="A88" i="4"/>
  <c r="A87" i="4"/>
  <c r="A86" i="4"/>
  <c r="A85" i="4"/>
  <c r="A84" i="4"/>
  <c r="B91" i="4"/>
  <c r="B90" i="4"/>
  <c r="B89" i="4"/>
  <c r="B88" i="4"/>
  <c r="B87" i="4"/>
  <c r="B86" i="4"/>
  <c r="B85" i="4"/>
  <c r="B84" i="4"/>
  <c r="F81" i="4"/>
  <c r="F79" i="4"/>
  <c r="F78" i="4"/>
  <c r="F77" i="4"/>
  <c r="F76" i="4"/>
  <c r="F75" i="4"/>
  <c r="F74" i="4"/>
  <c r="F73" i="4"/>
  <c r="F71" i="4"/>
  <c r="F72" i="4"/>
  <c r="E79" i="4"/>
  <c r="E78" i="4"/>
  <c r="E77" i="4"/>
  <c r="E76" i="4"/>
  <c r="E75" i="4"/>
  <c r="E74" i="4"/>
  <c r="E73" i="4"/>
  <c r="E72" i="4"/>
  <c r="C79" i="4"/>
  <c r="B79" i="4"/>
  <c r="C78" i="4"/>
  <c r="B78" i="4"/>
  <c r="C77" i="4"/>
  <c r="B77" i="4"/>
  <c r="C76" i="4"/>
  <c r="B76" i="4"/>
  <c r="C75" i="4"/>
  <c r="B75" i="4"/>
  <c r="C74" i="4"/>
  <c r="B74" i="4"/>
  <c r="C73" i="4"/>
  <c r="B73" i="4"/>
  <c r="C72" i="4"/>
  <c r="B72" i="4"/>
  <c r="F69" i="4"/>
  <c r="F64" i="4"/>
  <c r="C67" i="4"/>
  <c r="B67" i="4"/>
  <c r="F67" i="4"/>
  <c r="G67" i="4"/>
  <c r="C40" i="4" l="1"/>
  <c r="C41" i="4"/>
  <c r="B27" i="4"/>
  <c r="B18" i="4" l="1"/>
  <c r="D51" i="1"/>
  <c r="D67" i="4"/>
  <c r="B25" i="4"/>
  <c r="B24" i="4"/>
  <c r="B23" i="4"/>
  <c r="B13" i="4"/>
  <c r="B12" i="4"/>
  <c r="C16" i="1"/>
  <c r="C15" i="1"/>
  <c r="D41" i="4" l="1"/>
  <c r="D40" i="4"/>
  <c r="D39" i="4"/>
  <c r="D38" i="4"/>
  <c r="A41" i="4"/>
  <c r="A40" i="4"/>
  <c r="C39" i="4"/>
  <c r="C60" i="4" s="1"/>
  <c r="A39" i="4"/>
  <c r="C38" i="4"/>
  <c r="C59" i="4" s="1"/>
  <c r="A38" i="4"/>
  <c r="A34" i="4"/>
  <c r="A33" i="4"/>
  <c r="D78" i="1"/>
  <c r="D49" i="4"/>
  <c r="C49" i="4"/>
  <c r="D48" i="4"/>
  <c r="C48" i="4"/>
  <c r="D47" i="4"/>
  <c r="C47" i="4"/>
  <c r="D46" i="4"/>
  <c r="C46" i="4"/>
  <c r="D77" i="1" l="1"/>
  <c r="D74" i="1"/>
  <c r="D80" i="1" l="1"/>
  <c r="D79" i="1"/>
  <c r="D50" i="1" l="1"/>
  <c r="D72" i="1"/>
  <c r="D70" i="1"/>
  <c r="D69" i="1"/>
  <c r="D71" i="1"/>
  <c r="D48" i="1" l="1"/>
  <c r="D45" i="1"/>
  <c r="D44" i="1"/>
  <c r="D31" i="1"/>
  <c r="D30" i="1"/>
  <c r="C36" i="1"/>
  <c r="C29" i="1" l="1"/>
  <c r="B29" i="4" s="1"/>
  <c r="D68" i="1" l="1"/>
  <c r="D67" i="1"/>
  <c r="D25" i="1"/>
  <c r="D40" i="1" l="1"/>
  <c r="D27" i="1"/>
  <c r="D26" i="1"/>
  <c r="D24" i="1"/>
  <c r="D23" i="1"/>
  <c r="C28" i="1"/>
  <c r="D28" i="1" s="1"/>
  <c r="D29" i="1" l="1"/>
  <c r="C38" i="1" l="1"/>
  <c r="D38" i="1" l="1"/>
  <c r="B40" i="4"/>
  <c r="B34" i="4"/>
  <c r="B41" i="4"/>
  <c r="B38" i="4"/>
  <c r="B33" i="4"/>
  <c r="E67" i="4" s="1"/>
  <c r="B11" i="4"/>
  <c r="B39" i="4"/>
  <c r="A47" i="4" l="1"/>
  <c r="A60" i="4"/>
  <c r="A49" i="4"/>
  <c r="A62" i="4"/>
  <c r="A48" i="4"/>
  <c r="A61" i="4"/>
  <c r="A46" i="4"/>
  <c r="A59" i="4"/>
</calcChain>
</file>

<file path=xl/sharedStrings.xml><?xml version="1.0" encoding="utf-8"?>
<sst xmlns="http://schemas.openxmlformats.org/spreadsheetml/2006/main" count="613" uniqueCount="306">
  <si>
    <t>Point Name</t>
  </si>
  <si>
    <t>Does the point connect only non-EU states?</t>
  </si>
  <si>
    <t>Is the point connected with at least one non-EU state?</t>
  </si>
  <si>
    <t>What are the infrastructures connected by the point?</t>
  </si>
  <si>
    <t>No</t>
  </si>
  <si>
    <t>Yes</t>
  </si>
  <si>
    <t>ITP</t>
  </si>
  <si>
    <t>CB_ITP_EU_NEU_IMPORT</t>
  </si>
  <si>
    <t>CB_ITP_NEU</t>
  </si>
  <si>
    <t>CB_ITP_EU_NEU</t>
  </si>
  <si>
    <t>CB_ITP_EU</t>
  </si>
  <si>
    <t>UGS</t>
  </si>
  <si>
    <t>CB_UGS_EU</t>
  </si>
  <si>
    <t>IN_ITP</t>
  </si>
  <si>
    <t>LNG</t>
  </si>
  <si>
    <t>IN_LNG</t>
  </si>
  <si>
    <t>PRD</t>
  </si>
  <si>
    <t>IN_PRD</t>
  </si>
  <si>
    <t>DIS</t>
  </si>
  <si>
    <t>IN_DIS</t>
  </si>
  <si>
    <t>FNC</t>
  </si>
  <si>
    <t>IN_FNC</t>
  </si>
  <si>
    <t>None (Internal Bottleneck)</t>
  </si>
  <si>
    <t>INB</t>
  </si>
  <si>
    <t>IN_INB</t>
  </si>
  <si>
    <t>None (Virtual Trading Point)</t>
  </si>
  <si>
    <t>VTP</t>
  </si>
  <si>
    <t>IN_VTP</t>
  </si>
  <si>
    <t>Answer</t>
  </si>
  <si>
    <t>TYPE</t>
  </si>
  <si>
    <t>FULLTYPE</t>
  </si>
  <si>
    <t>RESULT</t>
  </si>
  <si>
    <t>Point commissioning date</t>
  </si>
  <si>
    <t>Distribution And Transmission</t>
  </si>
  <si>
    <t>Final Consumers And Transmission</t>
  </si>
  <si>
    <t>LNG Terminals And Transmission</t>
  </si>
  <si>
    <t>Production Facility And Transmission</t>
  </si>
  <si>
    <t>Storage And Transmission</t>
  </si>
  <si>
    <t>Transmission And Transmission</t>
  </si>
  <si>
    <t>NoYesYesYesTransmission And Transmission</t>
  </si>
  <si>
    <t>NoYesNoYesTransmission And Transmission</t>
  </si>
  <si>
    <t>Virtualized in</t>
  </si>
  <si>
    <t>If the point is a physical point, and has been virtualized into a virtual point, you should also indicate the virtual point, so that the system can correctly calculate aggregates and match measurements.</t>
  </si>
  <si>
    <t>Legend</t>
  </si>
  <si>
    <t>Input cell</t>
  </si>
  <si>
    <t>Calculated cell</t>
  </si>
  <si>
    <t>Point Direction</t>
  </si>
  <si>
    <t>Direction</t>
  </si>
  <si>
    <t>Entry</t>
  </si>
  <si>
    <t>Exit</t>
  </si>
  <si>
    <t>Both</t>
  </si>
  <si>
    <t>Specify the EIC code</t>
  </si>
  <si>
    <t>Which flow directions are available at this point ?</t>
  </si>
  <si>
    <t>Point Key Prefix</t>
  </si>
  <si>
    <t>Check</t>
  </si>
  <si>
    <t>YesNoNoYesTransmission And Transmission</t>
  </si>
  <si>
    <t>NoNoNoYesTransmission And Transmission</t>
  </si>
  <si>
    <t>NoNoNoYesStorage And Transmission</t>
  </si>
  <si>
    <t>NoNoNoNoTransmission And Transmission</t>
  </si>
  <si>
    <t>NoNoNoNoLNG Terminals And Transmission</t>
  </si>
  <si>
    <t>NoNoNoNoProduction Facility And Transmission</t>
  </si>
  <si>
    <t>NoNoNoNoDistribution And Transmission</t>
  </si>
  <si>
    <t>NoNoNoNoFinal Consumers And Transmission</t>
  </si>
  <si>
    <t>NoNoNoNoNone (Internal Bottleneck)</t>
  </si>
  <si>
    <t>NoNoNoNoNone (Virtual Trading Point)</t>
  </si>
  <si>
    <t>What is the name of the city or village nearest to this infrastructure in your network ?</t>
  </si>
  <si>
    <t>If this point connects to another country, what is the name or the city or village on the other side of the border, nearest to this interconnection ?</t>
  </si>
  <si>
    <t>What is the country code (2 characters) of this adjacent country ?</t>
  </si>
  <si>
    <t>Do you agree with this point naming proposal ?</t>
  </si>
  <si>
    <t>Or do you prefer to specify explicitly the point name ?</t>
  </si>
  <si>
    <t>Question</t>
  </si>
  <si>
    <t>Category</t>
  </si>
  <si>
    <t>Point Type</t>
  </si>
  <si>
    <t>Imports &amp; Exports</t>
  </si>
  <si>
    <t>Positioning</t>
  </si>
  <si>
    <t>Additional Information</t>
  </si>
  <si>
    <t>Specify the GPS coordinates of the point in order to plot it on geographical reports. This information is purely optional.</t>
  </si>
  <si>
    <t>Provide a printscreen showing the approximative location of the point on the TP map</t>
  </si>
  <si>
    <t>Author</t>
  </si>
  <si>
    <t>Request Date</t>
  </si>
  <si>
    <t>Adjacent Operator</t>
  </si>
  <si>
    <t>Other Information</t>
  </si>
  <si>
    <t>Please enter any additional description you might want to better explain ENTSOG how to configure the point</t>
  </si>
  <si>
    <t>Here is the final name ENTSOG will use for creation</t>
  </si>
  <si>
    <t>NoNoNoNoStorage And Transmission</t>
  </si>
  <si>
    <t>IN_UGS</t>
  </si>
  <si>
    <t>Virtual Point</t>
  </si>
  <si>
    <t>If the point is a virtual point, please list all the physical points which will be aggregated by this virtual point.</t>
  </si>
  <si>
    <t>What is the name of your entry-exit system ?</t>
  </si>
  <si>
    <t>Does the point connect at least two countries?</t>
  </si>
  <si>
    <t>In which country is this city or village located (please indicate the country code with 2 characters) ?</t>
  </si>
  <si>
    <t>If you know the commissioning date, please indicate it. If there is no date, the point is assumed to be planned.</t>
  </si>
  <si>
    <t>Virtualization</t>
  </si>
  <si>
    <t>What is the type of the point ?</t>
  </si>
  <si>
    <t>Virtuality</t>
  </si>
  <si>
    <t>Physical</t>
  </si>
  <si>
    <t>Virtual</t>
  </si>
  <si>
    <t>Please name the operator in charge of the technical operation of the infrastructure</t>
  </si>
  <si>
    <t>Please indicate the date at which commercial data is published at the virtual point</t>
  </si>
  <si>
    <t>Please indicate the date at which operational data is published at the virtual point. Leave blank if you still publish operational information at physical point level.</t>
  </si>
  <si>
    <t>Request for creation of a point in the ENTSOG IT System</t>
  </si>
  <si>
    <t>This form has been designed in order to formalize the creation of a new point in the ENTSOG IT System</t>
  </si>
  <si>
    <t>It should be filled in detail, with all required fields, in order to help ENTSOG IT Team configure the point properly.</t>
  </si>
  <si>
    <t>Please be aware that any change you make outside of the designated input cells, be it a format change, the addition</t>
  </si>
  <si>
    <t xml:space="preserve">of other comments, and any other restructuration, will not necessarily be considered by ENTSOG and may cause a delay in the </t>
  </si>
  <si>
    <t>treatment of your request.</t>
  </si>
  <si>
    <t>Will you report the commercial data (nomination…) only at the virtual point ?</t>
  </si>
  <si>
    <t>Will you report the operational data (physical flow, GCV) only at the virtual point ?</t>
  </si>
  <si>
    <t>Specify the balancing zone, entry-exit system or infrastructure with which this point is connected</t>
  </si>
  <si>
    <t>Specify the name of the operator(s) with which the point is connected</t>
  </si>
  <si>
    <t>Booking Platform</t>
  </si>
  <si>
    <t>Is this point marketed on a booking platform ? If yes, pick the correct one</t>
  </si>
  <si>
    <t>CAM&amp;CMP</t>
  </si>
  <si>
    <t>CAM-Relevant/CMP-Relevant</t>
  </si>
  <si>
    <t>CAM-Relevant/NON-CMP-Relevant</t>
  </si>
  <si>
    <t>NON-CAM-Relevant/NON-CMP-Relevant</t>
  </si>
  <si>
    <t>NON-CAM-Relevant/CMP-Relevant</t>
  </si>
  <si>
    <t>Operator</t>
  </si>
  <si>
    <t>Point</t>
  </si>
  <si>
    <t>Flow Direction</t>
  </si>
  <si>
    <t>Master Data Points</t>
  </si>
  <si>
    <t>Point Key</t>
  </si>
  <si>
    <t>Valid To</t>
  </si>
  <si>
    <t>Comments</t>
  </si>
  <si>
    <t>CommissioningDate</t>
  </si>
  <si>
    <t>Number</t>
  </si>
  <si>
    <t>TP Map X</t>
  </si>
  <si>
    <t>TP Map Y</t>
  </si>
  <si>
    <t>Use this</t>
  </si>
  <si>
    <t>https://itouchmap.com/latlong.html</t>
  </si>
  <si>
    <t>GPS X</t>
  </si>
  <si>
    <t>GPS Y</t>
  </si>
  <si>
    <t>Map Info</t>
  </si>
  <si>
    <t>And then this</t>
  </si>
  <si>
    <t>https://transparency.entsog.eu/</t>
  </si>
  <si>
    <t>Is Single Operator</t>
  </si>
  <si>
    <t>Single-Operator ?</t>
  </si>
  <si>
    <t>Is Relevant</t>
  </si>
  <si>
    <t>Is Deactivated</t>
  </si>
  <si>
    <t>EIC Code</t>
  </si>
  <si>
    <t>If the system doesn't let you select this code, it means probably that the code is a local national one and not in the ENTSO-E EIC database. Ignore this step then, it's not a big deal.</t>
  </si>
  <si>
    <t>Master Data Operator Points</t>
  </si>
  <si>
    <t>Master Data Operator Point Directions</t>
  </si>
  <si>
    <t>On the TP, this EIC code, when specified, appears at the top of the point popup. The Item Identifier specified by the TSO appears next to the TSO name in the point popup and elsewhere.</t>
  </si>
  <si>
    <t>Valid From</t>
  </si>
  <si>
    <t>Master Data Arcs</t>
  </si>
  <si>
    <t>From System</t>
  </si>
  <si>
    <t>To System</t>
  </si>
  <si>
    <t>From NeMo Key</t>
  </si>
  <si>
    <t>To NemoKey</t>
  </si>
  <si>
    <t>Explanations</t>
  </si>
  <si>
    <t>OGE and Fluxys D are TSOs. So logically the point should be on an Arc of type "Transmission&lt;&gt;Transmission"</t>
  </si>
  <si>
    <t>Note : the point will not appear on the TP until you have created the Arcs correctly</t>
  </si>
  <si>
    <t>Master Data Operator Point Directions : Link to the TSO Item Identifiers</t>
  </si>
  <si>
    <t>Operator Point Direction - TSO Data</t>
  </si>
  <si>
    <t>Explanation</t>
  </si>
  <si>
    <t>Make sure TSO has created the item identifier already…</t>
  </si>
  <si>
    <t>Contact this TSO to check if he shouldn't create the identifiers on his side, if not done already</t>
  </si>
  <si>
    <t>Report : Point Business Rules</t>
  </si>
  <si>
    <t>Link</t>
  </si>
  <si>
    <t>Wait for your changes to be totally integrated</t>
  </si>
  <si>
    <t>Check report here</t>
  </si>
  <si>
    <t>You should see no errors linked to the data added above ! If you find</t>
  </si>
  <si>
    <t>errors, analyze and make sure it's acceptable.</t>
  </si>
  <si>
    <t>Property</t>
  </si>
  <si>
    <t>Value</t>
  </si>
  <si>
    <t>Comment</t>
  </si>
  <si>
    <t>Check FAG if you aren't sure how to determine it</t>
  </si>
  <si>
    <t>Default value unless specific info provided by the operator</t>
  </si>
  <si>
    <t>Would you like the TP to show explanations or comments next to the point name in the point pop-up ?</t>
  </si>
  <si>
    <t>Operator Point Direction</t>
  </si>
  <si>
    <t>Hello, happy administrator. Please follow all the steps listed below !</t>
  </si>
  <si>
    <t>Done in UAT ?</t>
  </si>
  <si>
    <t>Done in PRD ?</t>
  </si>
  <si>
    <t>By default we assume that the arc is valid from the point's commissioning date</t>
  </si>
  <si>
    <t>Commercially Since</t>
  </si>
  <si>
    <t>Operationally Since</t>
  </si>
  <si>
    <t>Pipe-in-pipe</t>
  </si>
  <si>
    <t>Source operator point</t>
  </si>
  <si>
    <t>Target operator point</t>
  </si>
  <si>
    <t>Title</t>
  </si>
  <si>
    <t>Is Double Reporting</t>
  </si>
  <si>
    <t>Leave that blank, it's a useless field</t>
  </si>
  <si>
    <t>Imports From System</t>
  </si>
  <si>
    <t>Exports To System</t>
  </si>
  <si>
    <t>If the point is an import point, find out from which Gas System it imports</t>
  </si>
  <si>
    <t>If the point is an export point, find out to which Gas System it exports gas</t>
  </si>
  <si>
    <t>Main Point</t>
  </si>
  <si>
    <t xml:space="preserve">Check the FAG ; that's the main point / sub-point aspect, which is the most complex part of the system. </t>
  </si>
  <si>
    <t>Do you just have a commercial share of capacity at the point, and the points is actually technically managed by another TSO (pipe-in-pipe situation)?</t>
  </si>
  <si>
    <t>Manual input</t>
  </si>
  <si>
    <t>Automatic</t>
  </si>
  <si>
    <t>Here you have to use your gray matter to actually find out the information to enter</t>
  </si>
  <si>
    <t xml:space="preserve">Automatically calculated for you. </t>
  </si>
  <si>
    <t>To ignore</t>
  </si>
  <si>
    <t xml:space="preserve">Is another operator reporting data at this point on your behalf ? </t>
  </si>
  <si>
    <t>Which operator is it ?</t>
  </si>
  <si>
    <t>Master Data Operator Point Transfer - Pipe-in-Pipe, Redundant, Virtualized Points</t>
  </si>
  <si>
    <t>Master Data Operator Point Transfer - Virtual Points</t>
  </si>
  <si>
    <t>Only necessary if the TSO creates a pipe-in-pipe point, a redundant point, or a point which is virtualized in a virtual poitn</t>
  </si>
  <si>
    <t>Achim 1</t>
  </si>
  <si>
    <t>Achim 2</t>
  </si>
  <si>
    <t>Achim 3</t>
  </si>
  <si>
    <t>Achim 4</t>
  </si>
  <si>
    <t>Achim 5</t>
  </si>
  <si>
    <t>Achim 6</t>
  </si>
  <si>
    <t>Master Data Points - Virtual Points</t>
  </si>
  <si>
    <t>In case the TSO has created a new Virtual Point, you need to setup a transfer from the physical points to the new virtual point</t>
  </si>
  <si>
    <t>In case the TSO has created a new Virtual Point, you need to modify each of the Physical Points to point to the new Virtual Point</t>
  </si>
  <si>
    <t>Edit the physical point, and fill in the "Virtual Point" property</t>
  </si>
  <si>
    <t>Data Publication Timeline</t>
  </si>
  <si>
    <t>On what day is your IT system going to send data to the TP ? In other words, what is the deadline for ENTSOG to setup this point in the system ?</t>
  </si>
  <si>
    <t>Are you the sole entity operating this point (see for instance point "Liaison Nord Sud", or "GMS Ihtiman") ?</t>
  </si>
  <si>
    <t>Publication First Date</t>
  </si>
  <si>
    <t>Point Valid To</t>
  </si>
  <si>
    <t>Point Commissioning Date</t>
  </si>
  <si>
    <t>OPD Valid From</t>
  </si>
  <si>
    <t>OPD Valid To</t>
  </si>
  <si>
    <t>Arc Valid From</t>
  </si>
  <si>
    <t>Arc Valid To</t>
  </si>
  <si>
    <t>Virtualized Commercially Since</t>
  </si>
  <si>
    <t>Virtualized Operationally Since</t>
  </si>
  <si>
    <t>Physical Point 1</t>
  </si>
  <si>
    <t>Physical Point 2</t>
  </si>
  <si>
    <t>Regular Matching</t>
  </si>
  <si>
    <t>Value Type Class</t>
  </si>
  <si>
    <t>commercial</t>
  </si>
  <si>
    <t>Is Pipe-in-pipe</t>
  </si>
  <si>
    <t>Virtualized Commercially From</t>
  </si>
  <si>
    <t>Virtualized Operationally From</t>
  </si>
  <si>
    <t>Pipe-In-Pipe Point</t>
  </si>
  <si>
    <t>Redundant Point</t>
  </si>
  <si>
    <t>Filter</t>
  </si>
  <si>
    <t>Fact data has to be valid after the commissioning of the point</t>
  </si>
  <si>
    <t>X</t>
  </si>
  <si>
    <t>Commercial data can only be considered after the first virtualization event</t>
  </si>
  <si>
    <t>-</t>
  </si>
  <si>
    <t>Operational data can only be considered after the first virtualization event</t>
  </si>
  <si>
    <t>Commercial data can only be considered before the point is virtualized</t>
  </si>
  <si>
    <t>Period From &lt; Virtualized Commercially</t>
  </si>
  <si>
    <t>Operational data can only be considered before the point is virtualized</t>
  </si>
  <si>
    <t>Period From &lt; Virtualized Operationally</t>
  </si>
  <si>
    <t>No pipe-in-pipe data is considered</t>
  </si>
  <si>
    <t>IsPipeInPipe = false</t>
  </si>
  <si>
    <t>No redundant data is considered</t>
  </si>
  <si>
    <t>IsDoubleReporting = false</t>
  </si>
  <si>
    <t>Period From Between OPD.DateValidFrom and OPD.DateValidto</t>
  </si>
  <si>
    <t>Period From Between Point.DateValidFrom and Point.DateValidTo</t>
  </si>
  <si>
    <t>Fact.PeriodFrom &gt;= Point.Commissioning Date</t>
  </si>
  <si>
    <t>Fact.Period From &gt;= Min Com Vir</t>
  </si>
  <si>
    <t>Fact.Period From &gt;= Min Op Vir</t>
  </si>
  <si>
    <t>Projected Capacities</t>
  </si>
  <si>
    <t>Introductory Comments</t>
  </si>
  <si>
    <t>The PDWS relies on a so-called "matching algorithm" to calculate the matched data (also known as Lesser-Of Rule) between operators at common points and arcs.</t>
  </si>
  <si>
    <t>This algorithm applies various filters to its source data before executing, in order to only consider relevant data based on the Master Data Configuration</t>
  </si>
  <si>
    <t>In the following, we list the various rules.</t>
  </si>
  <si>
    <t>Rule Natural Language</t>
  </si>
  <si>
    <t>Would you like to write a comment to be shown on the TP when users click on the Point marker in the map ? If yes, write it in the next cell.</t>
  </si>
  <si>
    <t>Capacities Matched (yearly) (SysDev Cube)</t>
  </si>
  <si>
    <t>Applied When</t>
  </si>
  <si>
    <t>Value Type's Transport Data Type is "commercial"</t>
  </si>
  <si>
    <t>Value Type's Transport Data Type is "operational"</t>
  </si>
  <si>
    <t>Capacities Matched (monthly) (SysDev Cube)</t>
  </si>
  <si>
    <t>Capacities and Flows Matched (Daily) (SysDev Cube)</t>
  </si>
  <si>
    <t>Transport Data Matched (Yearly) (TP Cube)</t>
  </si>
  <si>
    <t>Transport Data Matched (Monthly) (TP Cube)</t>
  </si>
  <si>
    <t>Transport Data Matched (Daily) (TP Cube)</t>
  </si>
  <si>
    <t>Capacities Projected Matched (SysDev Cube)</t>
  </si>
  <si>
    <t>Value Type's Transport Data Type is "commercial" or "operational"</t>
  </si>
  <si>
    <t>OPD has to be valid at fact period's start</t>
  </si>
  <si>
    <t>Point has to be valid at fact period's start</t>
  </si>
  <si>
    <t>Arc has to be valid at fact period's start</t>
  </si>
  <si>
    <t>The tables below simulate the application of the filtering to the source data before application of ENTSOG's matching algorithm.</t>
  </si>
  <si>
    <t>Applies to</t>
  </si>
  <si>
    <t>Parameters</t>
  </si>
  <si>
    <t>Fact Period Between</t>
  </si>
  <si>
    <t>And</t>
  </si>
  <si>
    <t>Scenario</t>
  </si>
  <si>
    <t>OPD has to be valid before the publication (TYNDP)'s data collection close date</t>
  </si>
  <si>
    <t>Arc has to be valid before the publication (TYNDP)'s data collection close date</t>
  </si>
  <si>
    <t>OPD.DateValidFrom &lt; Publication.DataCollectionCloseDate</t>
  </si>
  <si>
    <t>LinkOPDArcNetwork.DateValidFrom &lt; Publication.DataCollectionCloseDate</t>
  </si>
  <si>
    <t>Period From Between LinkOPDArcNetwork.DateValidFrom and LinkOPDArcNetwork.DateValidTo</t>
  </si>
  <si>
    <t>Link to TSO Master Data Guides</t>
  </si>
  <si>
    <t xml:space="preserve">The proces for creating a new point on the ENTSOG TP is described in the TSO Administration Guide, available in the TSO Master Data Guide in the MDM. 
Please make sure to follow this process: As TSO, please create the OPDs and fill out the sheet "Point form" and send it to ENTSOG. Please note that ENTSOG needs up to 5 working days to process the request. </t>
  </si>
  <si>
    <t>Is this point a "Relevant Point" according to the Transparency regulation ?</t>
  </si>
  <si>
    <t>Check FAG if you aren't sure how to determine it - make sure to check if the point is already created, maybe for a different name</t>
  </si>
  <si>
    <t>MAKE SURE TO CHECK IF OPDs are already created!!! Only one OPD per direction per TSO</t>
  </si>
  <si>
    <t>Can the point be used for importing GAS/HYDROGEN/BIOMETHANE into the EU from non-EU countries?</t>
  </si>
  <si>
    <t>Can the point be used for exporting GAS/HYDROGEN/BIOMETHANE from the EU to non-EU countries?</t>
  </si>
  <si>
    <t>Is this point an import point or does it import GAS/HYDROGEN/BIOMETHANE from a system in a non-EU country? If so please specify the country code (2 characters).</t>
  </si>
  <si>
    <t>Is this point an export point or does it export GAS/HYDROGEN/BIOMETHANE to a system in a non-EU country? If so please specify the country code (2 characters).</t>
  </si>
  <si>
    <t>Your Infrastructure System</t>
  </si>
  <si>
    <t>Adjacent Infrastructure System</t>
  </si>
  <si>
    <t>TSO/Operator</t>
  </si>
  <si>
    <t>Energy Carrier</t>
  </si>
  <si>
    <t>Natural gas</t>
  </si>
  <si>
    <t>Hydrogen</t>
  </si>
  <si>
    <t>Low-Carbon gases</t>
  </si>
  <si>
    <t>Other Energy Carrier</t>
  </si>
  <si>
    <t>Which type of infrastructure will the point connect to</t>
  </si>
  <si>
    <t>Transmission</t>
  </si>
  <si>
    <t>Storage</t>
  </si>
  <si>
    <t>Import terminal</t>
  </si>
  <si>
    <t>Production facility</t>
  </si>
  <si>
    <t>Type of Infra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</si>
</sst>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theme="0"/>
      <name val="Calibri"/>
      <family val="2"/>
      <scheme val="minor"/>
    </font>
    <font>
      <sz val="12.65"/>
      <color rgb="FF262626"/>
      <name val="Segoe UI Semilight"/>
      <family val="2"/>
    </font>
    <font>
      <b/>
      <sz val="16"/>
      <color theme="0"/>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sz val="11"/>
      <color rgb="FF006100"/>
      <name val="Calibri"/>
      <family val="2"/>
      <scheme val="minor"/>
    </font>
    <font>
      <sz val="12"/>
      <color theme="0"/>
      <name val="Calibri (Body)"/>
      <family val="2"/>
    </font>
    <font>
      <sz val="20"/>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8"/>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6"/>
      </patternFill>
    </fill>
    <fill>
      <patternFill patternType="solid">
        <fgColor theme="7" tint="0.39997558519241921"/>
        <bgColor indexed="65"/>
      </patternFill>
    </fill>
    <fill>
      <patternFill patternType="solid">
        <fgColor theme="5" tint="0.39997558519241921"/>
        <bgColor indexed="65"/>
      </patternFill>
    </fill>
    <fill>
      <patternFill patternType="solid">
        <fgColor rgb="FFA5A5A5"/>
      </patternFill>
    </fill>
    <fill>
      <patternFill patternType="solid">
        <fgColor rgb="FFC6EFCE"/>
      </patternFill>
    </fill>
  </fills>
  <borders count="3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7F7F7F"/>
      </right>
      <top style="thin">
        <color rgb="FF7F7F7F"/>
      </top>
      <bottom style="thin">
        <color rgb="FF7F7F7F"/>
      </bottom>
      <diagonal/>
    </border>
    <border>
      <left/>
      <right/>
      <top style="thin">
        <color indexed="64"/>
      </top>
      <bottom/>
      <diagonal/>
    </border>
    <border>
      <left style="thin">
        <color rgb="FF7F7F7F"/>
      </left>
      <right style="thin">
        <color rgb="FF7F7F7F"/>
      </right>
      <top style="thin">
        <color indexed="64"/>
      </top>
      <bottom style="thin">
        <color rgb="FF7F7F7F"/>
      </bottom>
      <diagonal/>
    </border>
    <border>
      <left/>
      <right style="thin">
        <color indexed="64"/>
      </right>
      <top style="thin">
        <color indexed="64"/>
      </top>
      <bottom/>
      <diagonal/>
    </border>
    <border>
      <left/>
      <right style="thin">
        <color indexed="64"/>
      </right>
      <top/>
      <bottom/>
      <diagonal/>
    </border>
    <border>
      <left/>
      <right style="thin">
        <color rgb="FF7F7F7F"/>
      </right>
      <top style="thin">
        <color rgb="FF7F7F7F"/>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n">
        <color rgb="FF7F7F7F"/>
      </left>
      <right/>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0" tint="-0.499984740745262"/>
      </top>
      <bottom style="thin">
        <color indexed="64"/>
      </bottom>
      <diagonal/>
    </border>
    <border>
      <left/>
      <right/>
      <top style="thin">
        <color indexed="64"/>
      </top>
      <bottom style="thin">
        <color theme="0" tint="-0.24994659260841701"/>
      </bottom>
      <diagonal/>
    </border>
    <border>
      <left style="thin">
        <color rgb="FF7F7F7F"/>
      </left>
      <right style="thin">
        <color indexed="64"/>
      </right>
      <top style="thin">
        <color indexed="64"/>
      </top>
      <bottom/>
      <diagonal/>
    </border>
    <border>
      <left style="thin">
        <color rgb="FF7F7F7F"/>
      </left>
      <right style="thin">
        <color indexed="64"/>
      </right>
      <top/>
      <bottom/>
      <diagonal/>
    </border>
    <border>
      <left style="thin">
        <color rgb="FF7F7F7F"/>
      </left>
      <right style="thin">
        <color rgb="FF7F7F7F"/>
      </right>
      <top/>
      <bottom/>
      <diagonal/>
    </border>
    <border>
      <left style="thin">
        <color rgb="FF7F7F7F"/>
      </left>
      <right style="thin">
        <color rgb="FF7F7F7F"/>
      </right>
      <top/>
      <bottom style="thin">
        <color rgb="FF7F7F7F"/>
      </bottom>
      <diagonal/>
    </border>
  </borders>
  <cellStyleXfs count="1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4" fillId="4" borderId="0" applyNumberFormat="0" applyBorder="0" applyAlignment="0" applyProtection="0"/>
    <xf numFmtId="0" fontId="4" fillId="5" borderId="0" applyNumberFormat="0" applyBorder="0" applyAlignment="0" applyProtection="0"/>
    <xf numFmtId="0" fontId="7"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9" fillId="0" borderId="0" applyNumberFormat="0" applyFill="0" applyBorder="0" applyAlignment="0" applyProtection="0"/>
    <xf numFmtId="0" fontId="4" fillId="10" borderId="0" applyNumberFormat="0" applyBorder="0" applyAlignment="0" applyProtection="0"/>
    <xf numFmtId="0" fontId="10" fillId="11" borderId="29" applyNumberFormat="0" applyAlignment="0" applyProtection="0"/>
    <xf numFmtId="0" fontId="11" fillId="12" borderId="0" applyNumberFormat="0" applyBorder="0" applyAlignment="0" applyProtection="0"/>
    <xf numFmtId="0" fontId="12" fillId="5" borderId="0" applyNumberFormat="0" applyBorder="0" applyAlignment="0" applyProtection="0"/>
  </cellStyleXfs>
  <cellXfs count="139">
    <xf numFmtId="0" fontId="0" fillId="0" borderId="0" xfId="0"/>
    <xf numFmtId="0" fontId="2" fillId="3" borderId="2" xfId="2"/>
    <xf numFmtId="0" fontId="1" fillId="2" borderId="1" xfId="1"/>
    <xf numFmtId="0" fontId="3" fillId="3" borderId="1" xfId="3"/>
    <xf numFmtId="0" fontId="0" fillId="0" borderId="0" xfId="0" applyAlignment="1">
      <alignment wrapText="1"/>
    </xf>
    <xf numFmtId="0" fontId="5" fillId="0" borderId="0" xfId="0" applyFont="1" applyAlignment="1">
      <alignment vertical="center"/>
    </xf>
    <xf numFmtId="0" fontId="6" fillId="4" borderId="0" xfId="4" applyFont="1" applyAlignment="1">
      <alignment wrapText="1"/>
    </xf>
    <xf numFmtId="0" fontId="6" fillId="4" borderId="0" xfId="4" applyFont="1" applyAlignment="1">
      <alignment horizontal="center"/>
    </xf>
    <xf numFmtId="0" fontId="0" fillId="0" borderId="0" xfId="0" applyAlignment="1">
      <alignment horizontal="center"/>
    </xf>
    <xf numFmtId="0" fontId="0" fillId="0" borderId="0" xfId="0" applyAlignment="1">
      <alignment horizontal="center" wrapText="1"/>
    </xf>
    <xf numFmtId="0" fontId="3" fillId="3" borderId="1" xfId="3" applyAlignment="1">
      <alignment horizontal="center"/>
    </xf>
    <xf numFmtId="0" fontId="3" fillId="3" borderId="6" xfId="3" applyBorder="1" applyAlignment="1">
      <alignment wrapText="1"/>
    </xf>
    <xf numFmtId="0" fontId="0" fillId="0" borderId="7" xfId="0" applyBorder="1" applyAlignment="1">
      <alignment wrapText="1"/>
    </xf>
    <xf numFmtId="0" fontId="1" fillId="2" borderId="8" xfId="1" applyBorder="1" applyAlignment="1">
      <alignment horizontal="center"/>
    </xf>
    <xf numFmtId="0" fontId="1" fillId="2" borderId="1" xfId="1" applyAlignment="1">
      <alignment horizontal="center"/>
    </xf>
    <xf numFmtId="0" fontId="3" fillId="3" borderId="1" xfId="3" applyAlignment="1">
      <alignment horizontal="center" wrapText="1"/>
    </xf>
    <xf numFmtId="0" fontId="3" fillId="3" borderId="11" xfId="3" applyBorder="1" applyAlignment="1">
      <alignment wrapText="1"/>
    </xf>
    <xf numFmtId="0" fontId="3" fillId="3" borderId="12" xfId="3" applyBorder="1" applyAlignment="1">
      <alignment horizontal="center"/>
    </xf>
    <xf numFmtId="0" fontId="6" fillId="4" borderId="0" xfId="4" applyFont="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14" xfId="0" applyBorder="1" applyAlignment="1">
      <alignment wrapText="1"/>
    </xf>
    <xf numFmtId="0" fontId="3" fillId="3" borderId="15" xfId="3" applyBorder="1" applyAlignment="1">
      <alignment horizontal="center"/>
    </xf>
    <xf numFmtId="0" fontId="0" fillId="0" borderId="17" xfId="0" applyBorder="1" applyAlignment="1">
      <alignment wrapText="1"/>
    </xf>
    <xf numFmtId="14" fontId="1" fillId="2" borderId="18" xfId="1" applyNumberFormat="1" applyBorder="1" applyAlignment="1">
      <alignment horizontal="center"/>
    </xf>
    <xf numFmtId="0" fontId="0" fillId="0" borderId="19" xfId="0" applyBorder="1" applyAlignment="1">
      <alignment horizontal="center" wrapText="1"/>
    </xf>
    <xf numFmtId="0" fontId="0" fillId="0" borderId="21" xfId="0" applyBorder="1"/>
    <xf numFmtId="0" fontId="1" fillId="2" borderId="12" xfId="1" applyBorder="1" applyAlignment="1">
      <alignment horizontal="center"/>
    </xf>
    <xf numFmtId="0" fontId="4" fillId="4" borderId="16" xfId="4" applyBorder="1" applyAlignment="1">
      <alignment horizontal="center" vertical="center"/>
    </xf>
    <xf numFmtId="0" fontId="0" fillId="0" borderId="0" xfId="0" applyAlignment="1">
      <alignment horizontal="center" vertical="center"/>
    </xf>
    <xf numFmtId="0" fontId="1" fillId="2" borderId="8" xfId="1" applyBorder="1" applyAlignment="1">
      <alignment horizontal="center" wrapText="1"/>
    </xf>
    <xf numFmtId="0" fontId="0" fillId="0" borderId="14" xfId="0" applyBorder="1" applyAlignment="1">
      <alignment horizontal="center"/>
    </xf>
    <xf numFmtId="0" fontId="4" fillId="4" borderId="20" xfId="4" applyBorder="1" applyAlignment="1">
      <alignment horizontal="center" vertical="center"/>
    </xf>
    <xf numFmtId="0" fontId="4" fillId="4" borderId="22" xfId="4" applyBorder="1" applyAlignment="1">
      <alignment horizontal="center" vertical="center"/>
    </xf>
    <xf numFmtId="0" fontId="4" fillId="4" borderId="0" xfId="4"/>
    <xf numFmtId="0" fontId="1" fillId="2" borderId="1" xfId="1" applyAlignment="1">
      <alignment wrapText="1"/>
    </xf>
    <xf numFmtId="0" fontId="8" fillId="0" borderId="0" xfId="0" applyFont="1" applyAlignment="1">
      <alignment wrapText="1"/>
    </xf>
    <xf numFmtId="0" fontId="4" fillId="4" borderId="21" xfId="4" applyBorder="1" applyAlignment="1">
      <alignment horizontal="center" vertical="center"/>
    </xf>
    <xf numFmtId="0" fontId="7" fillId="6" borderId="0" xfId="6" applyAlignment="1">
      <alignment wrapText="1"/>
    </xf>
    <xf numFmtId="0" fontId="7" fillId="6" borderId="0" xfId="6" applyAlignment="1">
      <alignment horizontal="center"/>
    </xf>
    <xf numFmtId="0" fontId="7" fillId="6" borderId="0" xfId="6" applyAlignment="1">
      <alignment horizontal="center" wrapText="1"/>
    </xf>
    <xf numFmtId="0" fontId="4" fillId="5" borderId="0" xfId="5"/>
    <xf numFmtId="0" fontId="4" fillId="5" borderId="0" xfId="5" applyAlignment="1">
      <alignment wrapText="1"/>
    </xf>
    <xf numFmtId="0" fontId="4" fillId="5" borderId="0" xfId="5" applyAlignment="1">
      <alignment horizontal="center"/>
    </xf>
    <xf numFmtId="0" fontId="4" fillId="5" borderId="0" xfId="5" applyAlignment="1">
      <alignment horizontal="center" wrapText="1"/>
    </xf>
    <xf numFmtId="0" fontId="1" fillId="2" borderId="0" xfId="1" applyBorder="1" applyAlignment="1">
      <alignment horizontal="center"/>
    </xf>
    <xf numFmtId="0" fontId="0" fillId="0" borderId="7" xfId="0" applyBorder="1"/>
    <xf numFmtId="0" fontId="0" fillId="0" borderId="17" xfId="0" applyBorder="1"/>
    <xf numFmtId="0" fontId="0" fillId="0" borderId="9" xfId="0" applyBorder="1" applyAlignment="1">
      <alignment horizontal="center"/>
    </xf>
    <xf numFmtId="0" fontId="0" fillId="0" borderId="19" xfId="0" applyBorder="1" applyAlignment="1">
      <alignment horizontal="center"/>
    </xf>
    <xf numFmtId="0" fontId="1" fillId="2" borderId="23" xfId="1" applyBorder="1" applyAlignment="1">
      <alignment horizontal="center"/>
    </xf>
    <xf numFmtId="0" fontId="1" fillId="2" borderId="24" xfId="1" applyBorder="1" applyAlignment="1">
      <alignment horizontal="center"/>
    </xf>
    <xf numFmtId="0" fontId="1" fillId="2" borderId="25" xfId="1" applyBorder="1" applyAlignment="1">
      <alignment horizontal="center"/>
    </xf>
    <xf numFmtId="0" fontId="0" fillId="6" borderId="0" xfId="6" applyFont="1"/>
    <xf numFmtId="0" fontId="4" fillId="7" borderId="0" xfId="7"/>
    <xf numFmtId="0" fontId="4" fillId="7" borderId="0" xfId="7" applyAlignment="1">
      <alignment wrapText="1"/>
    </xf>
    <xf numFmtId="0" fontId="4" fillId="7" borderId="0" xfId="7" applyAlignment="1">
      <alignment horizontal="center"/>
    </xf>
    <xf numFmtId="0" fontId="4" fillId="7" borderId="0" xfId="7" applyAlignment="1">
      <alignment horizontal="center" wrapText="1"/>
    </xf>
    <xf numFmtId="0" fontId="1" fillId="2" borderId="18" xfId="1" applyBorder="1" applyAlignment="1">
      <alignment horizontal="center"/>
    </xf>
    <xf numFmtId="0" fontId="1" fillId="2" borderId="18" xfId="1" applyBorder="1"/>
    <xf numFmtId="0" fontId="0" fillId="0" borderId="0" xfId="0" applyAlignment="1">
      <alignment vertical="center" wrapText="1"/>
    </xf>
    <xf numFmtId="0" fontId="0" fillId="0" borderId="14" xfId="0" applyBorder="1" applyAlignment="1">
      <alignment vertical="center" wrapText="1"/>
    </xf>
    <xf numFmtId="0" fontId="3" fillId="3" borderId="26" xfId="3" applyBorder="1"/>
    <xf numFmtId="0" fontId="4" fillId="0" borderId="22" xfId="4" applyFill="1" applyBorder="1" applyAlignment="1">
      <alignment horizontal="center" vertical="center"/>
    </xf>
    <xf numFmtId="0" fontId="1" fillId="0" borderId="0" xfId="1" applyFill="1" applyBorder="1" applyAlignment="1">
      <alignment horizontal="center"/>
    </xf>
    <xf numFmtId="14" fontId="9" fillId="0" borderId="0" xfId="10" applyNumberFormat="1"/>
    <xf numFmtId="0" fontId="9" fillId="0" borderId="0" xfId="10"/>
    <xf numFmtId="0" fontId="4" fillId="8" borderId="0" xfId="8"/>
    <xf numFmtId="0" fontId="4" fillId="9" borderId="0" xfId="9"/>
    <xf numFmtId="0" fontId="4" fillId="10" borderId="0" xfId="11"/>
    <xf numFmtId="0" fontId="1" fillId="2" borderId="28" xfId="1" applyBorder="1" applyAlignment="1">
      <alignment wrapText="1"/>
    </xf>
    <xf numFmtId="14" fontId="1" fillId="2" borderId="28" xfId="1" applyNumberFormat="1" applyBorder="1" applyAlignment="1">
      <alignment wrapText="1"/>
    </xf>
    <xf numFmtId="0" fontId="0" fillId="0" borderId="3" xfId="0" applyBorder="1" applyAlignment="1">
      <alignment horizontal="center" wrapText="1"/>
    </xf>
    <xf numFmtId="0" fontId="0" fillId="0" borderId="27" xfId="0" applyBorder="1" applyAlignment="1">
      <alignment horizontal="center" wrapText="1"/>
    </xf>
    <xf numFmtId="0" fontId="0" fillId="0" borderId="14" xfId="0" applyBorder="1"/>
    <xf numFmtId="0" fontId="8" fillId="0" borderId="14" xfId="0" applyFont="1" applyBorder="1" applyAlignment="1">
      <alignment horizontal="center"/>
    </xf>
    <xf numFmtId="14" fontId="8" fillId="0" borderId="17" xfId="0" applyNumberFormat="1" applyFont="1" applyBorder="1" applyAlignment="1">
      <alignment horizontal="center"/>
    </xf>
    <xf numFmtId="0" fontId="8" fillId="0" borderId="17" xfId="0" applyFont="1" applyBorder="1" applyAlignment="1">
      <alignment horizontal="center"/>
    </xf>
    <xf numFmtId="0" fontId="8" fillId="0" borderId="17" xfId="0" applyFont="1" applyBorder="1" applyAlignment="1">
      <alignment horizontal="center" wrapText="1"/>
    </xf>
    <xf numFmtId="0" fontId="4" fillId="8" borderId="0" xfId="8" applyAlignment="1">
      <alignment wrapText="1"/>
    </xf>
    <xf numFmtId="0" fontId="8" fillId="0" borderId="17" xfId="0" applyFont="1" applyBorder="1"/>
    <xf numFmtId="14" fontId="8" fillId="0" borderId="17" xfId="0" applyNumberFormat="1" applyFont="1" applyBorder="1"/>
    <xf numFmtId="0" fontId="4" fillId="8" borderId="0" xfId="8" applyAlignment="1">
      <alignment horizontal="left" wrapText="1"/>
    </xf>
    <xf numFmtId="0" fontId="8" fillId="0" borderId="0" xfId="0" applyFont="1" applyAlignment="1">
      <alignment horizontal="left"/>
    </xf>
    <xf numFmtId="0" fontId="0" fillId="0" borderId="0" xfId="0" applyAlignment="1">
      <alignment horizontal="left"/>
    </xf>
    <xf numFmtId="0" fontId="4" fillId="8" borderId="0" xfId="8" applyBorder="1" applyAlignment="1">
      <alignment wrapText="1"/>
    </xf>
    <xf numFmtId="0" fontId="3" fillId="3" borderId="1" xfId="3" applyAlignment="1">
      <alignment horizontal="left" wrapText="1"/>
    </xf>
    <xf numFmtId="14" fontId="3" fillId="3" borderId="1" xfId="3" applyNumberFormat="1" applyAlignment="1">
      <alignment horizontal="center"/>
    </xf>
    <xf numFmtId="0" fontId="3" fillId="3" borderId="1" xfId="3" applyAlignment="1">
      <alignment horizontal="left"/>
    </xf>
    <xf numFmtId="14" fontId="1" fillId="2" borderId="1" xfId="1" applyNumberFormat="1" applyAlignment="1">
      <alignment horizontal="center"/>
    </xf>
    <xf numFmtId="0" fontId="1" fillId="2" borderId="1" xfId="1" applyAlignment="1">
      <alignment horizontal="left"/>
    </xf>
    <xf numFmtId="14" fontId="3" fillId="3" borderId="1" xfId="3" applyNumberFormat="1"/>
    <xf numFmtId="14" fontId="1" fillId="2" borderId="1" xfId="1" applyNumberFormat="1"/>
    <xf numFmtId="0" fontId="10" fillId="11" borderId="29" xfId="12" applyAlignment="1">
      <alignment horizontal="center"/>
    </xf>
    <xf numFmtId="0" fontId="10" fillId="11" borderId="29" xfId="12"/>
    <xf numFmtId="14" fontId="1" fillId="2" borderId="24" xfId="1" applyNumberFormat="1" applyBorder="1" applyAlignment="1">
      <alignment horizontal="center"/>
    </xf>
    <xf numFmtId="14" fontId="1" fillId="2" borderId="30" xfId="1" applyNumberFormat="1" applyBorder="1" applyAlignment="1">
      <alignment horizontal="center"/>
    </xf>
    <xf numFmtId="0" fontId="8" fillId="0" borderId="0" xfId="0" applyFont="1"/>
    <xf numFmtId="0" fontId="3" fillId="3" borderId="1" xfId="3" applyAlignment="1"/>
    <xf numFmtId="14" fontId="0" fillId="0" borderId="0" xfId="0" applyNumberFormat="1" applyAlignment="1">
      <alignment horizontal="left"/>
    </xf>
    <xf numFmtId="14" fontId="1" fillId="2" borderId="1" xfId="1" applyNumberFormat="1" applyAlignment="1">
      <alignment horizontal="left"/>
    </xf>
    <xf numFmtId="0" fontId="4" fillId="9" borderId="0" xfId="9" applyAlignment="1">
      <alignment horizontal="left" wrapText="1"/>
    </xf>
    <xf numFmtId="14" fontId="4" fillId="9" borderId="0" xfId="9" applyNumberFormat="1" applyAlignment="1">
      <alignment horizontal="left" wrapText="1"/>
    </xf>
    <xf numFmtId="14" fontId="12" fillId="5" borderId="0" xfId="14" applyNumberFormat="1" applyAlignment="1">
      <alignment horizontal="center"/>
    </xf>
    <xf numFmtId="0" fontId="12" fillId="5" borderId="0" xfId="14" applyAlignment="1">
      <alignment wrapText="1"/>
    </xf>
    <xf numFmtId="0" fontId="12" fillId="5" borderId="0" xfId="14"/>
    <xf numFmtId="0" fontId="12" fillId="5" borderId="0" xfId="14" applyAlignment="1">
      <alignment horizontal="left" textRotation="45"/>
    </xf>
    <xf numFmtId="0" fontId="1" fillId="2" borderId="14" xfId="1" applyBorder="1" applyAlignment="1">
      <alignment horizontal="left" wrapText="1"/>
    </xf>
    <xf numFmtId="0" fontId="1" fillId="2" borderId="31" xfId="1" applyBorder="1" applyAlignment="1">
      <alignment horizontal="left" wrapText="1"/>
    </xf>
    <xf numFmtId="0" fontId="0" fillId="0" borderId="0" xfId="0" applyAlignment="1">
      <alignment vertical="center"/>
    </xf>
    <xf numFmtId="0" fontId="0" fillId="0" borderId="14" xfId="0" applyBorder="1" applyAlignment="1">
      <alignment vertical="center"/>
    </xf>
    <xf numFmtId="0" fontId="0" fillId="0" borderId="14" xfId="0" quotePrefix="1" applyBorder="1" applyAlignment="1">
      <alignment horizontal="center" vertical="center"/>
    </xf>
    <xf numFmtId="0" fontId="11" fillId="12" borderId="14" xfId="13" applyBorder="1" applyAlignment="1">
      <alignment horizontal="center" vertical="center"/>
    </xf>
    <xf numFmtId="0" fontId="0" fillId="0" borderId="17" xfId="0" applyBorder="1" applyAlignment="1">
      <alignment vertical="center" wrapText="1"/>
    </xf>
    <xf numFmtId="0" fontId="0" fillId="0" borderId="17" xfId="0" applyBorder="1" applyAlignment="1">
      <alignment vertical="center"/>
    </xf>
    <xf numFmtId="0" fontId="11" fillId="12" borderId="17" xfId="13" applyBorder="1" applyAlignment="1">
      <alignment horizontal="center" vertical="center"/>
    </xf>
    <xf numFmtId="0" fontId="0" fillId="0" borderId="17" xfId="0" quotePrefix="1" applyBorder="1" applyAlignment="1">
      <alignment horizontal="center" vertical="center"/>
    </xf>
    <xf numFmtId="0" fontId="11" fillId="12" borderId="17" xfId="13" quotePrefix="1" applyBorder="1" applyAlignment="1">
      <alignment horizontal="center" vertical="center"/>
    </xf>
    <xf numFmtId="0" fontId="13" fillId="0" borderId="0" xfId="0" applyFont="1" applyAlignment="1">
      <alignment wrapText="1"/>
    </xf>
    <xf numFmtId="0" fontId="4" fillId="4" borderId="22" xfId="4" applyBorder="1" applyAlignment="1">
      <alignment horizontal="center" vertical="center" wrapText="1"/>
    </xf>
    <xf numFmtId="0" fontId="0" fillId="0" borderId="33" xfId="0" applyBorder="1" applyAlignment="1">
      <alignment horizontal="center" wrapText="1"/>
    </xf>
    <xf numFmtId="0" fontId="0" fillId="0" borderId="32" xfId="0" applyBorder="1" applyAlignment="1">
      <alignment horizontal="center" wrapText="1"/>
    </xf>
    <xf numFmtId="0" fontId="1" fillId="2" borderId="34" xfId="1" applyBorder="1"/>
    <xf numFmtId="0" fontId="0" fillId="0" borderId="7" xfId="0" applyBorder="1" applyAlignment="1">
      <alignment horizontal="center" vertical="center" wrapText="1"/>
    </xf>
    <xf numFmtId="0" fontId="0" fillId="0" borderId="0" xfId="0" applyAlignment="1">
      <alignment horizontal="center" vertical="center"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3" xfId="4" applyBorder="1" applyAlignment="1">
      <alignment horizontal="center" vertical="center"/>
    </xf>
    <xf numFmtId="0" fontId="4" fillId="4" borderId="22" xfId="4" applyBorder="1" applyAlignment="1">
      <alignment horizontal="center" vertical="center"/>
    </xf>
    <xf numFmtId="0" fontId="4" fillId="4" borderId="4" xfId="4" applyBorder="1" applyAlignment="1">
      <alignment horizontal="center" vertical="center"/>
    </xf>
    <xf numFmtId="0" fontId="4" fillId="4" borderId="5" xfId="4"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3" fillId="3" borderId="1" xfId="3" applyAlignment="1">
      <alignment horizontal="center" vertical="center"/>
    </xf>
    <xf numFmtId="0" fontId="8" fillId="0" borderId="7" xfId="0" applyFont="1" applyBorder="1" applyAlignment="1">
      <alignment horizontal="center" vertical="center"/>
    </xf>
    <xf numFmtId="0" fontId="8" fillId="0" borderId="14" xfId="0" applyFont="1" applyBorder="1" applyAlignment="1">
      <alignment horizontal="center" vertical="center"/>
    </xf>
    <xf numFmtId="0" fontId="0" fillId="0" borderId="0" xfId="0" applyBorder="1" applyAlignment="1">
      <alignment wrapText="1"/>
    </xf>
    <xf numFmtId="0" fontId="1" fillId="2" borderId="35" xfId="1" applyBorder="1" applyAlignment="1">
      <alignment horizontal="center"/>
    </xf>
  </cellXfs>
  <cellStyles count="15">
    <cellStyle name="40% - Accent2" xfId="6" builtinId="35"/>
    <cellStyle name="60% - Accent2" xfId="11" builtinId="36"/>
    <cellStyle name="60% - Accent4" xfId="9" builtinId="44"/>
    <cellStyle name="Accent2" xfId="5" builtinId="33"/>
    <cellStyle name="Accent2 2" xfId="14" xr:uid="{00000000-0005-0000-0000-000004000000}"/>
    <cellStyle name="Accent3" xfId="8" builtinId="37"/>
    <cellStyle name="Accent4" xfId="7" builtinId="41"/>
    <cellStyle name="Accent5" xfId="4" builtinId="45"/>
    <cellStyle name="Calculation" xfId="3" builtinId="22"/>
    <cellStyle name="Check Cell" xfId="12" builtinId="23"/>
    <cellStyle name="Good" xfId="13" builtinId="26"/>
    <cellStyle name="Hyperlink" xfId="10" builtinId="8"/>
    <cellStyle name="Input" xfId="1" builtinId="20"/>
    <cellStyle name="Normal" xfId="0" builtinId="0"/>
    <cellStyle name="Output" xfId="2" builtinId="21"/>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dxf>
    <dxf>
      <font>
        <color theme="0"/>
      </font>
      <fill>
        <patternFill>
          <bgColor theme="0"/>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border>
    </dxf>
    <dxf>
      <font>
        <color theme="0"/>
      </font>
      <fill>
        <patternFill>
          <bgColor theme="0"/>
        </patternFill>
      </fill>
      <border>
        <left/>
        <right/>
        <top/>
        <bottom/>
        <vertical/>
        <horizontal/>
      </border>
    </dxf>
    <dxf>
      <font>
        <color theme="0"/>
      </font>
      <fill>
        <patternFill>
          <bgColor theme="0"/>
        </patternFill>
      </fill>
      <border>
        <top/>
      </border>
    </dxf>
    <dxf>
      <font>
        <color theme="0"/>
      </font>
      <fill>
        <patternFill>
          <bgColor theme="0"/>
        </patternFill>
      </fill>
      <border>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ata.entsog.eu/MasterData/Pages/Master%20Data.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itouchmap.com/latlong.html" TargetMode="External"/><Relationship Id="rId7" Type="http://schemas.openxmlformats.org/officeDocument/2006/relationships/hyperlink" Target="https://data.entsog.eu/Reports/_layouts/15/ReportServer/RSViewerPage.aspx?rv:RelativeReportUrl=/Reports/Technical%20Repports/Business%20Rules%20-%20Points%20BRU001_NS.rdl" TargetMode="External"/><Relationship Id="rId2" Type="http://schemas.openxmlformats.org/officeDocument/2006/relationships/hyperlink" Target="https://itouchmap.com/latlong.html" TargetMode="External"/><Relationship Id="rId1" Type="http://schemas.openxmlformats.org/officeDocument/2006/relationships/hyperlink" Target="https://itouchmap.com/latlong.html" TargetMode="External"/><Relationship Id="rId6" Type="http://schemas.openxmlformats.org/officeDocument/2006/relationships/hyperlink" Target="https://transparency.entsog.eu/" TargetMode="External"/><Relationship Id="rId5" Type="http://schemas.openxmlformats.org/officeDocument/2006/relationships/hyperlink" Target="https://transparency.entsog.eu/" TargetMode="External"/><Relationship Id="rId4" Type="http://schemas.openxmlformats.org/officeDocument/2006/relationships/hyperlink" Target="https://itouchmap.com/latlo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5"/>
  <sheetViews>
    <sheetView workbookViewId="0">
      <selection activeCell="A2" sqref="A2"/>
    </sheetView>
  </sheetViews>
  <sheetFormatPr defaultColWidth="9.1796875" defaultRowHeight="14.5"/>
  <cols>
    <col min="1" max="1" width="127.1796875" customWidth="1"/>
  </cols>
  <sheetData>
    <row r="2" spans="1:1" ht="156">
      <c r="A2" s="119" t="s">
        <v>284</v>
      </c>
    </row>
    <row r="5" spans="1:1">
      <c r="A5" s="67" t="s">
        <v>283</v>
      </c>
    </row>
  </sheetData>
  <hyperlinks>
    <hyperlink ref="A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H86"/>
  <sheetViews>
    <sheetView showGridLines="0" tabSelected="1" zoomScale="85" zoomScaleNormal="85" workbookViewId="0">
      <selection activeCell="D14" sqref="D14"/>
    </sheetView>
  </sheetViews>
  <sheetFormatPr defaultColWidth="9.1796875" defaultRowHeight="14.5"/>
  <cols>
    <col min="1" max="1" width="24.26953125" bestFit="1" customWidth="1"/>
    <col min="2" max="2" width="55.54296875" style="4" bestFit="1" customWidth="1"/>
    <col min="3" max="3" width="49.26953125" style="8" customWidth="1"/>
    <col min="4" max="4" width="18.54296875" style="9" customWidth="1"/>
    <col min="5" max="5" width="7.26953125" bestFit="1" customWidth="1"/>
    <col min="6" max="6" width="17.54296875" bestFit="1" customWidth="1"/>
    <col min="7" max="7" width="8.54296875" bestFit="1" customWidth="1"/>
    <col min="8" max="8" width="14.54296875" bestFit="1" customWidth="1"/>
  </cols>
  <sheetData>
    <row r="1" spans="1:4">
      <c r="A1" s="42" t="s">
        <v>100</v>
      </c>
      <c r="B1" s="43"/>
      <c r="C1" s="44"/>
      <c r="D1" s="45"/>
    </row>
    <row r="3" spans="1:4">
      <c r="A3" s="54" t="s">
        <v>101</v>
      </c>
      <c r="B3" s="39"/>
      <c r="C3" s="40"/>
      <c r="D3" s="41"/>
    </row>
    <row r="4" spans="1:4">
      <c r="A4" s="54" t="s">
        <v>102</v>
      </c>
      <c r="B4" s="39"/>
      <c r="C4" s="40"/>
      <c r="D4" s="41"/>
    </row>
    <row r="6" spans="1:4">
      <c r="A6" s="55" t="s">
        <v>103</v>
      </c>
      <c r="B6" s="56"/>
      <c r="C6" s="57"/>
      <c r="D6" s="58"/>
    </row>
    <row r="7" spans="1:4">
      <c r="A7" s="55" t="s">
        <v>104</v>
      </c>
      <c r="B7" s="56"/>
      <c r="C7" s="57"/>
      <c r="D7" s="58"/>
    </row>
    <row r="8" spans="1:4">
      <c r="A8" s="55" t="s">
        <v>105</v>
      </c>
      <c r="B8" s="56"/>
      <c r="C8" s="57"/>
      <c r="D8" s="58"/>
    </row>
    <row r="9" spans="1:4">
      <c r="B9"/>
      <c r="C9"/>
      <c r="D9"/>
    </row>
    <row r="10" spans="1:4">
      <c r="A10" t="s">
        <v>43</v>
      </c>
    </row>
    <row r="11" spans="1:4">
      <c r="A11" s="2" t="s">
        <v>44</v>
      </c>
    </row>
    <row r="12" spans="1:4">
      <c r="A12" s="3" t="s">
        <v>45</v>
      </c>
    </row>
    <row r="14" spans="1:4">
      <c r="A14" s="35" t="s">
        <v>78</v>
      </c>
      <c r="B14" s="36"/>
    </row>
    <row r="15" spans="1:4">
      <c r="A15" s="35" t="s">
        <v>294</v>
      </c>
      <c r="B15" s="71"/>
      <c r="C15" s="73" t="str">
        <f t="shared" ref="C15:C16" si="0">IF(B15="","Missing","OK")</f>
        <v>Missing</v>
      </c>
    </row>
    <row r="16" spans="1:4">
      <c r="A16" s="35" t="s">
        <v>79</v>
      </c>
      <c r="B16" s="72"/>
      <c r="C16" s="74" t="str">
        <f t="shared" si="0"/>
        <v>Missing</v>
      </c>
    </row>
    <row r="19" spans="1:8" ht="21">
      <c r="A19" s="7" t="s">
        <v>71</v>
      </c>
      <c r="B19" s="6" t="s">
        <v>70</v>
      </c>
      <c r="C19" s="7" t="s">
        <v>28</v>
      </c>
      <c r="D19" s="18" t="s">
        <v>54</v>
      </c>
    </row>
    <row r="20" spans="1:8">
      <c r="A20" s="128" t="s">
        <v>72</v>
      </c>
      <c r="B20" s="12" t="s">
        <v>295</v>
      </c>
      <c r="C20" s="13"/>
      <c r="D20" s="122" t="str">
        <f>IF(C20="","Missing","OK")</f>
        <v>Missing</v>
      </c>
    </row>
    <row r="21" spans="1:8">
      <c r="A21" s="129"/>
      <c r="B21" s="137" t="s">
        <v>300</v>
      </c>
      <c r="C21" s="138"/>
      <c r="D21" s="122" t="str">
        <f>IF(C21="","Missing","OK")</f>
        <v>Missing</v>
      </c>
    </row>
    <row r="22" spans="1:8">
      <c r="A22" s="129"/>
      <c r="B22" s="4" t="s">
        <v>1</v>
      </c>
      <c r="C22" s="14"/>
      <c r="D22" s="121" t="str">
        <f>IF(C22="","Missing","OK")</f>
        <v>Missing</v>
      </c>
    </row>
    <row r="23" spans="1:8">
      <c r="A23" s="130"/>
      <c r="B23" s="4" t="s">
        <v>2</v>
      </c>
      <c r="C23" s="14"/>
      <c r="D23" s="20" t="str">
        <f t="shared" ref="D23:D27" si="1">IF(C23="","Missing","OK")</f>
        <v>Missing</v>
      </c>
    </row>
    <row r="24" spans="1:8" ht="43.5">
      <c r="A24" s="130"/>
      <c r="B24" s="4" t="s">
        <v>288</v>
      </c>
      <c r="C24" s="14"/>
      <c r="D24" s="20" t="str">
        <f t="shared" si="1"/>
        <v>Missing</v>
      </c>
    </row>
    <row r="25" spans="1:8" ht="43.5">
      <c r="A25" s="130"/>
      <c r="B25" s="4" t="s">
        <v>289</v>
      </c>
      <c r="C25" s="14"/>
      <c r="D25" s="20" t="str">
        <f t="shared" si="1"/>
        <v>Missing</v>
      </c>
    </row>
    <row r="26" spans="1:8">
      <c r="A26" s="130"/>
      <c r="B26" s="4" t="s">
        <v>89</v>
      </c>
      <c r="C26" s="14"/>
      <c r="D26" s="20" t="str">
        <f t="shared" si="1"/>
        <v>Missing</v>
      </c>
    </row>
    <row r="27" spans="1:8">
      <c r="A27" s="130"/>
      <c r="B27" s="4" t="s">
        <v>3</v>
      </c>
      <c r="C27" s="14"/>
      <c r="D27" s="20" t="str">
        <f t="shared" si="1"/>
        <v>Missing</v>
      </c>
    </row>
    <row r="28" spans="1:8" ht="58">
      <c r="A28" s="130"/>
      <c r="B28" s="11" t="s">
        <v>53</v>
      </c>
      <c r="C28" s="15" t="e">
        <f>VLOOKUP(CONCATENATE(C20,C23,C24,C26,C27), Metadata!G1:I14, 2,FALSE )</f>
        <v>#N/A</v>
      </c>
      <c r="D28" s="20" t="str">
        <f>IF(ISERROR(C28),"Your previous choices result in an unknown point type !","OK")</f>
        <v>Your previous choices result in an unknown point type !</v>
      </c>
    </row>
    <row r="29" spans="1:8" ht="58">
      <c r="A29" s="131"/>
      <c r="B29" s="16" t="s">
        <v>72</v>
      </c>
      <c r="C29" s="17" t="e">
        <f>VLOOKUP(CONCATENATE(C20,C23,C24,C26,C27), Metadata!G1:I14, 3,FALSE )</f>
        <v>#N/A</v>
      </c>
      <c r="D29" s="21" t="str">
        <f>IF(ISERROR(C29),"Your previous choices result in an unknown point type !","OK")</f>
        <v>Your previous choices result in an unknown point type !</v>
      </c>
      <c r="H29" s="1"/>
    </row>
    <row r="30" spans="1:8" ht="29">
      <c r="A30" s="126" t="s">
        <v>0</v>
      </c>
      <c r="B30" s="12" t="s">
        <v>65</v>
      </c>
      <c r="C30" s="13"/>
      <c r="D30" s="20" t="str">
        <f>IF(ISBLANK(C30),"Missing","OK")</f>
        <v>Missing</v>
      </c>
    </row>
    <row r="31" spans="1:8" ht="29">
      <c r="A31" s="129"/>
      <c r="B31" s="4" t="s">
        <v>90</v>
      </c>
      <c r="C31" s="13"/>
      <c r="D31" s="20" t="str">
        <f>IF(LEN(C31)&lt;&gt;2,"Missing", "OK")</f>
        <v>Missing</v>
      </c>
    </row>
    <row r="32" spans="1:8" ht="8.25" customHeight="1">
      <c r="A32" s="129"/>
      <c r="C32" s="4"/>
      <c r="D32" s="20"/>
    </row>
    <row r="33" spans="1:4" ht="43.5">
      <c r="A33" s="129"/>
      <c r="B33" s="4" t="s">
        <v>66</v>
      </c>
      <c r="C33" s="14"/>
      <c r="D33" s="20"/>
    </row>
    <row r="34" spans="1:4" ht="29">
      <c r="A34" s="129"/>
      <c r="B34" s="4" t="s">
        <v>67</v>
      </c>
      <c r="C34" s="14"/>
      <c r="D34" s="20"/>
    </row>
    <row r="35" spans="1:4" ht="6" customHeight="1">
      <c r="A35" s="129"/>
      <c r="C35"/>
      <c r="D35" s="20"/>
    </row>
    <row r="36" spans="1:4">
      <c r="A36" s="129"/>
      <c r="B36" s="4" t="s">
        <v>68</v>
      </c>
      <c r="C36" s="10" t="str">
        <f>CONCATENATE(C30,IF(C31="",""," (" &amp; C31 &amp; ")"),IF(C33="",""," / "),C33,IF(C34="",""," (" &amp; C34 &amp; ")"))</f>
        <v/>
      </c>
      <c r="D36" s="20"/>
    </row>
    <row r="37" spans="1:4">
      <c r="A37" s="129"/>
      <c r="B37" s="4" t="s">
        <v>69</v>
      </c>
      <c r="C37" s="14"/>
      <c r="D37" s="20"/>
    </row>
    <row r="38" spans="1:4">
      <c r="A38" s="129"/>
      <c r="B38" s="37" t="s">
        <v>83</v>
      </c>
      <c r="C38" s="23" t="str">
        <f>IF(C37="",C36,C37)</f>
        <v/>
      </c>
      <c r="D38" s="20" t="str">
        <f>IF(C38="","Missing","OK")</f>
        <v>Missing</v>
      </c>
    </row>
    <row r="39" spans="1:4" ht="39.75" customHeight="1">
      <c r="A39" s="127"/>
      <c r="B39" s="4" t="s">
        <v>169</v>
      </c>
      <c r="C39" s="14"/>
      <c r="D39" s="20"/>
    </row>
    <row r="40" spans="1:4" ht="43.5">
      <c r="A40" s="29" t="s">
        <v>32</v>
      </c>
      <c r="B40" s="24" t="s">
        <v>91</v>
      </c>
      <c r="C40" s="25"/>
      <c r="D40" s="26" t="str">
        <f>IF(C40="","OK (Point will be considered as Planned","OK")</f>
        <v>OK (Point will be considered as Planned</v>
      </c>
    </row>
    <row r="41" spans="1:4" ht="43.5">
      <c r="A41" s="29" t="s">
        <v>210</v>
      </c>
      <c r="B41" s="24" t="s">
        <v>211</v>
      </c>
      <c r="C41" s="25"/>
      <c r="D41" s="26" t="str">
        <f>IF(C41="","Missing","OK")</f>
        <v>Missing</v>
      </c>
    </row>
    <row r="42" spans="1:4">
      <c r="B42"/>
      <c r="C42"/>
      <c r="D42" s="8"/>
    </row>
    <row r="43" spans="1:4">
      <c r="A43" s="126" t="s">
        <v>73</v>
      </c>
      <c r="B43" s="47"/>
      <c r="C43" s="47"/>
      <c r="D43" s="49"/>
    </row>
    <row r="44" spans="1:4" ht="43.5">
      <c r="A44" s="129"/>
      <c r="B44" s="12" t="s">
        <v>290</v>
      </c>
      <c r="C44" s="13"/>
      <c r="D44" s="20" t="str">
        <f>IF(C24="Yes",IF(LEN(C44)&lt;&gt;2,"Missing","OK"),"")</f>
        <v/>
      </c>
    </row>
    <row r="45" spans="1:4" ht="43.5">
      <c r="A45" s="129"/>
      <c r="B45" s="22" t="s">
        <v>291</v>
      </c>
      <c r="C45" s="28"/>
      <c r="D45" s="20" t="str">
        <f>IF(C25="Yes",IF(LEN(C45)&lt;&gt;2,"Missing","OK"),"")</f>
        <v/>
      </c>
    </row>
    <row r="46" spans="1:4">
      <c r="A46" s="127"/>
      <c r="B46" s="24"/>
      <c r="C46" s="24"/>
      <c r="D46" s="21"/>
    </row>
    <row r="47" spans="1:4">
      <c r="B47"/>
      <c r="C47"/>
      <c r="D47" s="8"/>
    </row>
    <row r="48" spans="1:4">
      <c r="A48" s="29" t="s">
        <v>92</v>
      </c>
      <c r="B48" s="48" t="s">
        <v>93</v>
      </c>
      <c r="C48" s="60" t="s">
        <v>95</v>
      </c>
      <c r="D48" s="50" t="str">
        <f>IF(ISBLANK(IsVirtual),"Missing","OK")</f>
        <v>OK</v>
      </c>
    </row>
    <row r="49" spans="1:4" ht="58">
      <c r="A49" s="33" t="s">
        <v>41</v>
      </c>
      <c r="B49" s="12" t="s">
        <v>42</v>
      </c>
      <c r="C49" s="51"/>
      <c r="D49" s="19"/>
    </row>
    <row r="50" spans="1:4" ht="29">
      <c r="A50" s="34"/>
      <c r="B50" s="4" t="s">
        <v>98</v>
      </c>
      <c r="C50" s="96"/>
      <c r="D50" s="20" t="str">
        <f>IF(C49="","",IF(C50="","Missing","OK"))</f>
        <v/>
      </c>
    </row>
    <row r="51" spans="1:4" ht="43.5">
      <c r="A51" s="38"/>
      <c r="B51" s="22" t="s">
        <v>99</v>
      </c>
      <c r="C51" s="97"/>
      <c r="D51" s="21" t="str">
        <f>IF(C49="","",IF(C51="","Missing","OK"))</f>
        <v/>
      </c>
    </row>
    <row r="52" spans="1:4" ht="15" customHeight="1">
      <c r="A52" s="126" t="s">
        <v>86</v>
      </c>
      <c r="B52" s="124" t="s">
        <v>87</v>
      </c>
      <c r="C52" s="51" t="s">
        <v>200</v>
      </c>
      <c r="D52" s="19"/>
    </row>
    <row r="53" spans="1:4">
      <c r="A53" s="129"/>
      <c r="B53" s="125"/>
      <c r="C53" s="52" t="s">
        <v>201</v>
      </c>
      <c r="D53" s="20"/>
    </row>
    <row r="54" spans="1:4">
      <c r="A54" s="129"/>
      <c r="B54" s="125"/>
      <c r="C54" s="52" t="s">
        <v>202</v>
      </c>
      <c r="D54" s="20"/>
    </row>
    <row r="55" spans="1:4">
      <c r="A55" s="129"/>
      <c r="B55" s="125"/>
      <c r="C55" s="52" t="s">
        <v>203</v>
      </c>
      <c r="D55" s="20"/>
    </row>
    <row r="56" spans="1:4">
      <c r="A56" s="129"/>
      <c r="B56" s="125"/>
      <c r="C56" s="52" t="s">
        <v>204</v>
      </c>
      <c r="D56" s="20"/>
    </row>
    <row r="57" spans="1:4">
      <c r="A57" s="129"/>
      <c r="B57" s="125"/>
      <c r="C57" s="52" t="s">
        <v>205</v>
      </c>
      <c r="D57" s="20"/>
    </row>
    <row r="58" spans="1:4">
      <c r="A58" s="129"/>
      <c r="B58" s="125"/>
      <c r="C58" s="52"/>
      <c r="D58" s="20"/>
    </row>
    <row r="59" spans="1:4">
      <c r="A59" s="129"/>
      <c r="B59" s="125"/>
      <c r="C59" s="52"/>
      <c r="D59" s="20"/>
    </row>
    <row r="60" spans="1:4">
      <c r="A60" s="129"/>
      <c r="B60" s="125"/>
      <c r="C60" s="52"/>
      <c r="D60" s="20"/>
    </row>
    <row r="61" spans="1:4">
      <c r="A61" s="129"/>
      <c r="B61" s="125"/>
      <c r="C61" s="52"/>
      <c r="D61" s="20"/>
    </row>
    <row r="62" spans="1:4" ht="29">
      <c r="A62" s="129"/>
      <c r="B62" s="61" t="s">
        <v>106</v>
      </c>
      <c r="C62" s="52" t="s">
        <v>5</v>
      </c>
      <c r="D62" s="20" t="str">
        <f>IF(C62="","Missing","OK")</f>
        <v>OK</v>
      </c>
    </row>
    <row r="63" spans="1:4" ht="29">
      <c r="A63" s="129"/>
      <c r="B63" s="61" t="s">
        <v>107</v>
      </c>
      <c r="C63" s="52" t="s">
        <v>5</v>
      </c>
      <c r="D63" s="20" t="str">
        <f>IF(C63="","Missing","OK")</f>
        <v>OK</v>
      </c>
    </row>
    <row r="64" spans="1:4">
      <c r="A64" s="127"/>
      <c r="B64" s="62"/>
      <c r="C64" s="62"/>
      <c r="D64" s="21"/>
    </row>
    <row r="65" spans="1:4" ht="29">
      <c r="A65" s="126" t="s">
        <v>74</v>
      </c>
      <c r="B65" s="12" t="s">
        <v>77</v>
      </c>
      <c r="C65" s="13"/>
      <c r="D65" s="19"/>
    </row>
    <row r="66" spans="1:4" ht="29">
      <c r="A66" s="127"/>
      <c r="B66" s="22" t="s">
        <v>76</v>
      </c>
      <c r="C66" s="28"/>
      <c r="D66" s="21"/>
    </row>
    <row r="67" spans="1:4" ht="15" customHeight="1">
      <c r="A67" s="126" t="s">
        <v>75</v>
      </c>
      <c r="B67" s="12" t="s">
        <v>285</v>
      </c>
      <c r="C67" s="51"/>
      <c r="D67" s="19" t="str">
        <f>IF(C67="","Missing","OK")</f>
        <v>Missing</v>
      </c>
    </row>
    <row r="68" spans="1:4" ht="15" customHeight="1">
      <c r="A68" s="129"/>
      <c r="B68" s="4" t="s">
        <v>51</v>
      </c>
      <c r="C68" s="52"/>
      <c r="D68" s="20" t="str">
        <f>IF(C68="","Missing","OK")</f>
        <v>Missing</v>
      </c>
    </row>
    <row r="69" spans="1:4" ht="43.5">
      <c r="A69" s="34"/>
      <c r="B69" s="4" t="s">
        <v>189</v>
      </c>
      <c r="C69" s="53"/>
      <c r="D69" s="20" t="str">
        <f>IF(C69="","Missing","OK")</f>
        <v>Missing</v>
      </c>
    </row>
    <row r="70" spans="1:4" ht="29">
      <c r="A70" s="34"/>
      <c r="B70" s="4" t="s">
        <v>97</v>
      </c>
      <c r="C70" s="46"/>
      <c r="D70" s="20" t="str">
        <f>IF(isPipeInPipe="Yes",IF(C70="","Missing","OK"),"")</f>
        <v/>
      </c>
    </row>
    <row r="71" spans="1:4">
      <c r="A71" s="34"/>
      <c r="B71" s="4" t="s">
        <v>195</v>
      </c>
      <c r="C71" s="46"/>
      <c r="D71" s="20" t="str">
        <f>IF(C71="","Missing","OK")</f>
        <v>Missing</v>
      </c>
    </row>
    <row r="72" spans="1:4">
      <c r="A72" s="34"/>
      <c r="B72" s="4" t="s">
        <v>196</v>
      </c>
      <c r="C72" s="46"/>
      <c r="D72" s="20" t="str">
        <f>IF(IsRedundant="Yes",IF(C72="","Missing","OK"),"")</f>
        <v/>
      </c>
    </row>
    <row r="73" spans="1:4" ht="15" customHeight="1">
      <c r="A73" s="38"/>
      <c r="B73" s="22"/>
      <c r="C73" s="22"/>
      <c r="D73" s="21"/>
    </row>
    <row r="74" spans="1:4" ht="29">
      <c r="A74" s="29" t="s">
        <v>110</v>
      </c>
      <c r="B74" s="24" t="s">
        <v>111</v>
      </c>
      <c r="C74" s="59"/>
      <c r="D74" s="26" t="str">
        <f>IF(ISBLANK(C74),"Missing","OK")</f>
        <v>Missing</v>
      </c>
    </row>
    <row r="75" spans="1:4" ht="15" customHeight="1">
      <c r="A75" s="30"/>
    </row>
    <row r="76" spans="1:4" ht="15" customHeight="1">
      <c r="A76" s="33" t="s">
        <v>46</v>
      </c>
      <c r="B76" s="12" t="s">
        <v>52</v>
      </c>
      <c r="C76" s="31"/>
      <c r="D76" s="19"/>
    </row>
    <row r="77" spans="1:4" ht="15" customHeight="1">
      <c r="A77" s="34" t="s">
        <v>292</v>
      </c>
      <c r="B77" s="4" t="s">
        <v>88</v>
      </c>
      <c r="C77" s="14"/>
      <c r="D77" s="20" t="str">
        <f>IF(ISBLANK(C77),"Missing","OK")</f>
        <v>Missing</v>
      </c>
    </row>
    <row r="78" spans="1:4" ht="29">
      <c r="A78" s="34" t="s">
        <v>136</v>
      </c>
      <c r="B78" s="4" t="s">
        <v>212</v>
      </c>
      <c r="C78" s="14"/>
      <c r="D78" s="20" t="str">
        <f>IF(ISBLANK(C78),"Missing","OK")</f>
        <v>Missing</v>
      </c>
    </row>
    <row r="79" spans="1:4" ht="29">
      <c r="A79" s="34" t="s">
        <v>80</v>
      </c>
      <c r="B79" s="4" t="s">
        <v>109</v>
      </c>
      <c r="C79" s="14"/>
      <c r="D79" s="20" t="str">
        <f>IF(C79="","Missing","OK")</f>
        <v>Missing</v>
      </c>
    </row>
    <row r="80" spans="1:4" ht="29">
      <c r="A80" s="120" t="s">
        <v>293</v>
      </c>
      <c r="B80" s="4" t="s">
        <v>108</v>
      </c>
      <c r="C80" s="14"/>
      <c r="D80" s="20" t="str">
        <f>IF(C80="","Missing","OK")</f>
        <v>Missing</v>
      </c>
    </row>
    <row r="81" spans="1:4">
      <c r="A81" s="64"/>
      <c r="C81" s="65"/>
      <c r="D81" s="20"/>
    </row>
    <row r="82" spans="1:4">
      <c r="A82" s="27"/>
      <c r="B82" s="22"/>
      <c r="C82" s="32"/>
      <c r="D82" s="21"/>
    </row>
    <row r="85" spans="1:4" ht="29">
      <c r="A85" s="126" t="s">
        <v>81</v>
      </c>
      <c r="B85" s="12" t="s">
        <v>82</v>
      </c>
      <c r="C85" s="109"/>
      <c r="D85" s="19"/>
    </row>
    <row r="86" spans="1:4" ht="43.5">
      <c r="A86" s="127"/>
      <c r="B86" s="22" t="s">
        <v>257</v>
      </c>
      <c r="C86" s="108"/>
      <c r="D86" s="21"/>
    </row>
  </sheetData>
  <mergeCells count="8">
    <mergeCell ref="B52:B61"/>
    <mergeCell ref="A85:A86"/>
    <mergeCell ref="A20:A29"/>
    <mergeCell ref="A65:A66"/>
    <mergeCell ref="A67:A68"/>
    <mergeCell ref="A52:A64"/>
    <mergeCell ref="A43:A46"/>
    <mergeCell ref="A30:A39"/>
  </mergeCells>
  <conditionalFormatting sqref="A49:D51">
    <cfRule type="expression" dxfId="31" priority="33">
      <formula>$C$48="Virtual"</formula>
    </cfRule>
  </conditionalFormatting>
  <conditionalFormatting sqref="A52:D64">
    <cfRule type="expression" dxfId="30" priority="22">
      <formula>$C$48="Physical"</formula>
    </cfRule>
  </conditionalFormatting>
  <conditionalFormatting sqref="A79:D80">
    <cfRule type="expression" dxfId="29" priority="4">
      <formula>$C$78="Yes"</formula>
    </cfRule>
  </conditionalFormatting>
  <conditionalFormatting sqref="B33:C34">
    <cfRule type="expression" dxfId="28" priority="41">
      <formula>$C$26="No"</formula>
    </cfRule>
  </conditionalFormatting>
  <conditionalFormatting sqref="B44:C44">
    <cfRule type="expression" dxfId="27" priority="39">
      <formula>$C$24="No"</formula>
    </cfRule>
  </conditionalFormatting>
  <conditionalFormatting sqref="B45:C45">
    <cfRule type="expression" dxfId="26" priority="36">
      <formula>$C$25="No"</formula>
    </cfRule>
  </conditionalFormatting>
  <conditionalFormatting sqref="B70:C70">
    <cfRule type="expression" dxfId="25" priority="21">
      <formula>$C$69="No"</formula>
    </cfRule>
  </conditionalFormatting>
  <conditionalFormatting sqref="B72:C72">
    <cfRule type="expression" dxfId="24" priority="20">
      <formula>$C$71="No"</formula>
    </cfRule>
  </conditionalFormatting>
  <conditionalFormatting sqref="C15:C16">
    <cfRule type="cellIs" dxfId="23" priority="5" operator="equal">
      <formula>"OK"</formula>
    </cfRule>
    <cfRule type="containsText" dxfId="22" priority="6" operator="containsText" text="Error">
      <formula>NOT(ISERROR(SEARCH("Error",C15)))</formula>
    </cfRule>
    <cfRule type="cellIs" dxfId="21" priority="7" operator="equal">
      <formula>"Missing"</formula>
    </cfRule>
  </conditionalFormatting>
  <conditionalFormatting sqref="D1:D8">
    <cfRule type="cellIs" dxfId="20" priority="18" operator="equal">
      <formula>"Missing"</formula>
    </cfRule>
    <cfRule type="cellIs" dxfId="19" priority="19" operator="equal">
      <formula>"OK"</formula>
    </cfRule>
  </conditionalFormatting>
  <conditionalFormatting sqref="D10:D41">
    <cfRule type="cellIs" dxfId="18" priority="1" operator="equal">
      <formula>"OK"</formula>
    </cfRule>
    <cfRule type="containsText" dxfId="17" priority="2" operator="containsText" text="Error">
      <formula>NOT(ISERROR(SEARCH("Error",D10)))</formula>
    </cfRule>
    <cfRule type="cellIs" dxfId="16" priority="3" operator="equal">
      <formula>"Missing"</formula>
    </cfRule>
  </conditionalFormatting>
  <conditionalFormatting sqref="D42:D73 D1:D5">
    <cfRule type="containsText" dxfId="15" priority="24" operator="containsText" text="Error">
      <formula>NOT(ISERROR(SEARCH("Error",D1)))</formula>
    </cfRule>
  </conditionalFormatting>
  <conditionalFormatting sqref="D42:D73">
    <cfRule type="cellIs" dxfId="14" priority="23" operator="equal">
      <formula>"OK"</formula>
    </cfRule>
    <cfRule type="cellIs" dxfId="13" priority="25" operator="equal">
      <formula>"Missing"</formula>
    </cfRule>
  </conditionalFormatting>
  <conditionalFormatting sqref="D74:D1048576">
    <cfRule type="cellIs" dxfId="12" priority="14" operator="equal">
      <formula>"OK"</formula>
    </cfRule>
    <cfRule type="containsText" dxfId="11" priority="15" operator="containsText" text="Error">
      <formula>NOT(ISERROR(SEARCH("Error",D74)))</formula>
    </cfRule>
    <cfRule type="cellIs" dxfId="10" priority="16" operator="equal">
      <formula>"Missing"</formula>
    </cfRule>
  </conditionalFormatting>
  <dataValidations count="4">
    <dataValidation type="date" operator="greaterThan" allowBlank="1" showInputMessage="1" showErrorMessage="1" sqref="C40:C41" xr:uid="{00000000-0002-0000-0100-000000000000}">
      <formula1>1</formula1>
    </dataValidation>
    <dataValidation type="date" operator="greaterThan" allowBlank="1" showInputMessage="1" showErrorMessage="1" errorTitle="Enter a valid date" error="Enter a valid date, greater than 1/10/2013." sqref="C50:C51" xr:uid="{00000000-0002-0000-0100-000001000000}">
      <formula1>41548</formula1>
    </dataValidation>
    <dataValidation type="list" allowBlank="1" showInputMessage="1" showErrorMessage="1" sqref="C74" xr:uid="{00000000-0002-0000-0100-000002000000}">
      <formula1>"No,PRISMA,RBP,GSA"</formula1>
    </dataValidation>
    <dataValidation type="list" allowBlank="1" showInputMessage="1" showErrorMessage="1" sqref="C78" xr:uid="{00000000-0002-0000-0100-000003000000}">
      <formula1>"Yes,No"</formula1>
    </dataValidation>
  </dataValidations>
  <pageMargins left="0.7" right="0.7" top="0.75" bottom="0.75" header="0.3" footer="0.3"/>
  <pageSetup paperSize="9" orientation="portrait" r:id="rId1"/>
  <ignoredErrors>
    <ignoredError sqref="D70" formula="1"/>
  </ignoredError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4000000}">
          <x14:formula1>
            <xm:f>Metadata!$C$2:$C$4</xm:f>
          </x14:formula1>
          <xm:sqref>C76</xm:sqref>
        </x14:dataValidation>
        <x14:dataValidation type="list" allowBlank="1" showInputMessage="1" showErrorMessage="1" xr:uid="{00000000-0002-0000-0100-000005000000}">
          <x14:formula1>
            <xm:f>Metadata!$A$2:$A$3</xm:f>
          </x14:formula1>
          <xm:sqref>C62:C63 C67 C69 C71 C22:C26</xm:sqref>
        </x14:dataValidation>
        <x14:dataValidation type="list" allowBlank="1" showInputMessage="1" showErrorMessage="1" xr:uid="{00000000-0002-0000-0100-000006000000}">
          <x14:formula1>
            <xm:f>Metadata!$B$2:$B$9</xm:f>
          </x14:formula1>
          <xm:sqref>C27</xm:sqref>
        </x14:dataValidation>
        <x14:dataValidation type="list" allowBlank="1" showInputMessage="1" showErrorMessage="1" xr:uid="{00000000-0002-0000-0100-000007000000}">
          <x14:formula1>
            <xm:f>Metadata!$D$2:$D$3</xm:f>
          </x14:formula1>
          <xm:sqref>C48</xm:sqref>
        </x14:dataValidation>
        <x14:dataValidation type="list" allowBlank="1" showInputMessage="1" showErrorMessage="1" xr:uid="{1F3FB9A3-07BA-4D23-85DF-0EF8BD6BC888}">
          <x14:formula1>
            <xm:f>Metadata!$E$2:$E$5</xm:f>
          </x14:formula1>
          <xm:sqref>C20</xm:sqref>
        </x14:dataValidation>
        <x14:dataValidation type="list" allowBlank="1" showInputMessage="1" showErrorMessage="1" xr:uid="{B0E431AF-AA5B-4D56-A2B2-4A7D855EBCB4}">
          <x14:formula1>
            <xm:f>Metadata!$F$2:$F$5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2"/>
  <sheetViews>
    <sheetView showGridLines="0" topLeftCell="A6" workbookViewId="0">
      <selection activeCell="G37" sqref="G37"/>
    </sheetView>
  </sheetViews>
  <sheetFormatPr defaultRowHeight="14.5"/>
  <cols>
    <col min="1" max="1" width="20.26953125" customWidth="1"/>
    <col min="2" max="2" width="18.26953125" customWidth="1"/>
    <col min="3" max="3" width="14.7265625" customWidth="1"/>
    <col min="4" max="4" width="12.7265625" customWidth="1"/>
    <col min="5" max="5" width="16.7265625" customWidth="1"/>
    <col min="6" max="6" width="15.1796875" customWidth="1"/>
    <col min="7" max="7" width="10.1796875" customWidth="1"/>
    <col min="8" max="8" width="11.81640625" customWidth="1"/>
  </cols>
  <sheetData>
    <row r="1" spans="1:6">
      <c r="A1" s="42" t="s">
        <v>171</v>
      </c>
      <c r="B1" s="42"/>
      <c r="C1" s="42"/>
      <c r="D1" s="42"/>
      <c r="E1" s="42"/>
      <c r="F1" s="42"/>
    </row>
    <row r="2" spans="1:6">
      <c r="A2" t="s">
        <v>43</v>
      </c>
    </row>
    <row r="3" spans="1:6">
      <c r="A3" s="2" t="s">
        <v>190</v>
      </c>
      <c r="B3" t="s">
        <v>192</v>
      </c>
    </row>
    <row r="4" spans="1:6" ht="15" thickBot="1">
      <c r="A4" s="3" t="s">
        <v>191</v>
      </c>
      <c r="B4" t="s">
        <v>193</v>
      </c>
    </row>
    <row r="5" spans="1:6" ht="15.5" thickTop="1" thickBot="1">
      <c r="A5" s="95"/>
      <c r="B5" t="s">
        <v>194</v>
      </c>
    </row>
    <row r="6" spans="1:6" ht="15" thickTop="1"/>
    <row r="7" spans="1:6">
      <c r="A7" s="42" t="s">
        <v>120</v>
      </c>
      <c r="B7" s="42"/>
      <c r="C7" s="42"/>
      <c r="D7" s="42"/>
      <c r="E7" s="42"/>
    </row>
    <row r="8" spans="1:6">
      <c r="A8" s="68" t="s">
        <v>164</v>
      </c>
      <c r="B8" s="68" t="s">
        <v>165</v>
      </c>
      <c r="C8" s="80" t="s">
        <v>172</v>
      </c>
      <c r="D8" s="80" t="s">
        <v>173</v>
      </c>
      <c r="E8" s="68" t="s">
        <v>166</v>
      </c>
    </row>
    <row r="9" spans="1:6">
      <c r="A9" s="75" t="s">
        <v>121</v>
      </c>
      <c r="B9" s="14"/>
      <c r="C9" s="76" t="s">
        <v>4</v>
      </c>
      <c r="D9" s="76" t="s">
        <v>4</v>
      </c>
      <c r="E9" t="s">
        <v>286</v>
      </c>
    </row>
    <row r="10" spans="1:6">
      <c r="A10" s="48" t="s">
        <v>122</v>
      </c>
      <c r="B10" s="90">
        <v>73050</v>
      </c>
      <c r="C10" s="77" t="s">
        <v>4</v>
      </c>
      <c r="D10" s="77" t="s">
        <v>4</v>
      </c>
      <c r="E10" t="s">
        <v>168</v>
      </c>
    </row>
    <row r="11" spans="1:6">
      <c r="A11" s="48" t="s">
        <v>0</v>
      </c>
      <c r="B11" s="10" t="str">
        <f>PointName</f>
        <v/>
      </c>
      <c r="C11" s="78" t="s">
        <v>4</v>
      </c>
      <c r="D11" s="78" t="s">
        <v>4</v>
      </c>
    </row>
    <row r="12" spans="1:6" ht="43.5">
      <c r="A12" s="48" t="s">
        <v>123</v>
      </c>
      <c r="B12" s="87" t="str">
        <f>CONCATENATE("Created upon request of ",TSO," from ",DAY(RequestDate),"/",MONTH(RequestDate),"/",YEAR(RequestDate))</f>
        <v>Created upon request of  from 0/1/1900</v>
      </c>
      <c r="C12" s="79" t="s">
        <v>4</v>
      </c>
      <c r="D12" s="79" t="s">
        <v>4</v>
      </c>
    </row>
    <row r="13" spans="1:6">
      <c r="A13" s="48" t="s">
        <v>124</v>
      </c>
      <c r="B13" s="88">
        <f>CommissioningDate</f>
        <v>0</v>
      </c>
      <c r="C13" s="77" t="s">
        <v>4</v>
      </c>
      <c r="D13" s="77" t="s">
        <v>4</v>
      </c>
    </row>
    <row r="14" spans="1:6">
      <c r="A14" s="48" t="s">
        <v>125</v>
      </c>
      <c r="B14" s="91"/>
      <c r="C14" s="78" t="s">
        <v>4</v>
      </c>
      <c r="D14" s="78" t="s">
        <v>4</v>
      </c>
      <c r="E14" t="s">
        <v>167</v>
      </c>
    </row>
    <row r="15" spans="1:6">
      <c r="A15" s="48" t="s">
        <v>183</v>
      </c>
      <c r="B15" s="91"/>
      <c r="C15" s="78" t="s">
        <v>4</v>
      </c>
      <c r="D15" s="78" t="s">
        <v>4</v>
      </c>
      <c r="E15" t="s">
        <v>185</v>
      </c>
    </row>
    <row r="16" spans="1:6">
      <c r="A16" s="48" t="s">
        <v>184</v>
      </c>
      <c r="B16" s="91"/>
      <c r="C16" s="78" t="s">
        <v>4</v>
      </c>
      <c r="D16" s="78" t="s">
        <v>4</v>
      </c>
      <c r="E16" t="s">
        <v>186</v>
      </c>
    </row>
    <row r="17" spans="1:10">
      <c r="A17" s="48" t="s">
        <v>187</v>
      </c>
      <c r="B17" s="91"/>
      <c r="C17" s="78" t="s">
        <v>4</v>
      </c>
      <c r="D17" s="78" t="s">
        <v>4</v>
      </c>
      <c r="E17" t="s">
        <v>188</v>
      </c>
    </row>
    <row r="18" spans="1:10">
      <c r="A18" s="48" t="s">
        <v>86</v>
      </c>
      <c r="B18" s="89" t="str">
        <f>IF(VirtualPoint&lt;&gt;"",VirtualPoint,"")</f>
        <v/>
      </c>
      <c r="C18" s="78" t="s">
        <v>4</v>
      </c>
      <c r="D18" s="78" t="s">
        <v>4</v>
      </c>
    </row>
    <row r="19" spans="1:10">
      <c r="A19" s="48" t="s">
        <v>126</v>
      </c>
      <c r="B19" s="14"/>
      <c r="C19" s="78" t="s">
        <v>4</v>
      </c>
      <c r="D19" s="78" t="s">
        <v>4</v>
      </c>
      <c r="E19" t="s">
        <v>128</v>
      </c>
      <c r="F19" s="66" t="s">
        <v>129</v>
      </c>
      <c r="I19" t="s">
        <v>133</v>
      </c>
      <c r="J19" s="67" t="s">
        <v>134</v>
      </c>
    </row>
    <row r="20" spans="1:10">
      <c r="A20" s="48" t="s">
        <v>127</v>
      </c>
      <c r="B20" s="14"/>
      <c r="C20" s="78" t="s">
        <v>4</v>
      </c>
      <c r="D20" s="78" t="s">
        <v>4</v>
      </c>
      <c r="E20" t="s">
        <v>128</v>
      </c>
      <c r="F20" s="66" t="s">
        <v>129</v>
      </c>
      <c r="I20" t="s">
        <v>133</v>
      </c>
      <c r="J20" s="67" t="s">
        <v>134</v>
      </c>
    </row>
    <row r="21" spans="1:10">
      <c r="A21" s="48" t="s">
        <v>130</v>
      </c>
      <c r="B21" s="14"/>
      <c r="C21" s="78" t="s">
        <v>4</v>
      </c>
      <c r="D21" s="78" t="s">
        <v>4</v>
      </c>
      <c r="E21" t="s">
        <v>128</v>
      </c>
      <c r="F21" s="66" t="s">
        <v>129</v>
      </c>
    </row>
    <row r="22" spans="1:10">
      <c r="A22" s="48" t="s">
        <v>131</v>
      </c>
      <c r="B22" s="14"/>
      <c r="C22" s="78" t="s">
        <v>4</v>
      </c>
      <c r="D22" s="78" t="s">
        <v>4</v>
      </c>
      <c r="E22" t="s">
        <v>128</v>
      </c>
      <c r="F22" s="66" t="s">
        <v>129</v>
      </c>
    </row>
    <row r="23" spans="1:10">
      <c r="A23" s="48" t="s">
        <v>132</v>
      </c>
      <c r="B23" s="10" t="str">
        <f>IF(MapInfo="","",MapInfo)</f>
        <v/>
      </c>
      <c r="C23" s="78" t="s">
        <v>4</v>
      </c>
      <c r="D23" s="78" t="s">
        <v>4</v>
      </c>
      <c r="F23" s="66"/>
    </row>
    <row r="24" spans="1:10">
      <c r="A24" s="48" t="s">
        <v>135</v>
      </c>
      <c r="B24" s="10">
        <f>IsSingleOperator</f>
        <v>0</v>
      </c>
      <c r="C24" s="78" t="s">
        <v>4</v>
      </c>
      <c r="D24" s="78" t="s">
        <v>4</v>
      </c>
      <c r="F24" s="66"/>
    </row>
    <row r="25" spans="1:10">
      <c r="A25" s="48" t="s">
        <v>137</v>
      </c>
      <c r="B25" s="10">
        <f>IsRelevant</f>
        <v>0</v>
      </c>
      <c r="C25" s="78" t="s">
        <v>4</v>
      </c>
      <c r="D25" s="78" t="s">
        <v>4</v>
      </c>
      <c r="F25" s="66"/>
    </row>
    <row r="26" spans="1:10">
      <c r="A26" s="48" t="s">
        <v>138</v>
      </c>
      <c r="B26" s="10" t="s">
        <v>4</v>
      </c>
      <c r="C26" s="78" t="s">
        <v>4</v>
      </c>
      <c r="D26" s="78" t="s">
        <v>4</v>
      </c>
    </row>
    <row r="27" spans="1:10">
      <c r="A27" s="132" t="s">
        <v>139</v>
      </c>
      <c r="B27" s="134" t="str">
        <f>IF(EIC&lt;&gt;"",EIC,"")</f>
        <v/>
      </c>
      <c r="C27" s="135" t="s">
        <v>4</v>
      </c>
      <c r="D27" s="135" t="s">
        <v>4</v>
      </c>
      <c r="E27" t="s">
        <v>140</v>
      </c>
    </row>
    <row r="28" spans="1:10">
      <c r="A28" s="133"/>
      <c r="B28" s="134"/>
      <c r="C28" s="136"/>
      <c r="D28" s="136"/>
      <c r="E28" t="s">
        <v>143</v>
      </c>
    </row>
    <row r="29" spans="1:10">
      <c r="A29" s="48" t="s">
        <v>72</v>
      </c>
      <c r="B29" s="10" t="e">
        <f>PointType</f>
        <v>#N/A</v>
      </c>
      <c r="C29" s="78" t="s">
        <v>4</v>
      </c>
      <c r="D29" s="78" t="s">
        <v>4</v>
      </c>
    </row>
    <row r="31" spans="1:10">
      <c r="A31" s="42" t="s">
        <v>141</v>
      </c>
      <c r="B31" s="42"/>
      <c r="C31" s="42"/>
      <c r="D31" s="42"/>
      <c r="E31" s="42"/>
    </row>
    <row r="32" spans="1:10">
      <c r="A32" s="68" t="s">
        <v>117</v>
      </c>
      <c r="B32" s="68" t="s">
        <v>118</v>
      </c>
      <c r="C32" s="80" t="s">
        <v>172</v>
      </c>
      <c r="D32" s="80" t="s">
        <v>173</v>
      </c>
      <c r="E32" s="68" t="s">
        <v>166</v>
      </c>
    </row>
    <row r="33" spans="1:9">
      <c r="A33" s="3">
        <f>TSO</f>
        <v>0</v>
      </c>
      <c r="B33" s="3" t="str">
        <f>PointName</f>
        <v/>
      </c>
      <c r="C33" s="76" t="s">
        <v>4</v>
      </c>
      <c r="D33" s="76" t="s">
        <v>4</v>
      </c>
    </row>
    <row r="34" spans="1:9">
      <c r="A34" s="3" t="str">
        <f>IF(AdjacentTSO&lt;&gt;"",AdjacentTSO,"")</f>
        <v/>
      </c>
      <c r="B34" s="3" t="str">
        <f>IF(AdjacentTSO&lt;&gt;"",PointName,"")</f>
        <v/>
      </c>
      <c r="C34" s="77" t="s">
        <v>4</v>
      </c>
      <c r="D34" s="77" t="s">
        <v>4</v>
      </c>
    </row>
    <row r="36" spans="1:9">
      <c r="A36" s="42" t="s">
        <v>142</v>
      </c>
      <c r="B36" s="42"/>
      <c r="C36" s="42"/>
      <c r="D36" s="42"/>
      <c r="E36" s="42"/>
      <c r="F36" s="42"/>
      <c r="G36" t="s">
        <v>287</v>
      </c>
    </row>
    <row r="37" spans="1:9" ht="29">
      <c r="A37" s="68" t="s">
        <v>117</v>
      </c>
      <c r="B37" s="68" t="s">
        <v>118</v>
      </c>
      <c r="C37" s="68" t="s">
        <v>119</v>
      </c>
      <c r="D37" s="68" t="s">
        <v>144</v>
      </c>
      <c r="E37" s="68" t="s">
        <v>122</v>
      </c>
      <c r="F37" s="80" t="s">
        <v>172</v>
      </c>
      <c r="G37" s="80" t="s">
        <v>173</v>
      </c>
      <c r="H37" s="68" t="s">
        <v>166</v>
      </c>
    </row>
    <row r="38" spans="1:9">
      <c r="A38" s="3">
        <f>IF(PointDirection&lt;&gt;"exit",TSO,"")</f>
        <v>0</v>
      </c>
      <c r="B38" s="3" t="str">
        <f>IF(PointDirection&lt;&gt;"exit",PointName,"")</f>
        <v/>
      </c>
      <c r="C38" s="3" t="str">
        <f>IF(PointDirection&lt;&gt;"exit","entry","")</f>
        <v>entry</v>
      </c>
      <c r="D38" s="92">
        <f>CommissioningDate</f>
        <v>0</v>
      </c>
      <c r="E38" s="93">
        <v>73050</v>
      </c>
      <c r="F38" s="76" t="s">
        <v>4</v>
      </c>
      <c r="G38" s="76" t="s">
        <v>4</v>
      </c>
      <c r="H38" t="s">
        <v>174</v>
      </c>
    </row>
    <row r="39" spans="1:9">
      <c r="A39" s="3">
        <f>IF(PointDirection&lt;&gt;"entry",TSO,"")</f>
        <v>0</v>
      </c>
      <c r="B39" s="3" t="str">
        <f>IF(PointDirection&lt;&gt;"entry",PointName,"")</f>
        <v/>
      </c>
      <c r="C39" s="3" t="str">
        <f>IF(PointDirection&lt;&gt;"entry","exit","")</f>
        <v>exit</v>
      </c>
      <c r="D39" s="92">
        <f>CommissioningDate</f>
        <v>0</v>
      </c>
      <c r="E39" s="93">
        <v>73050</v>
      </c>
      <c r="F39" s="77" t="s">
        <v>4</v>
      </c>
      <c r="G39" s="77" t="s">
        <v>4</v>
      </c>
      <c r="H39" t="s">
        <v>174</v>
      </c>
    </row>
    <row r="40" spans="1:9">
      <c r="A40" s="3">
        <f>IF(PointDirection&lt;&gt;"exit",AdjacentTSO,"")</f>
        <v>0</v>
      </c>
      <c r="B40" s="3" t="str">
        <f>IF(PointDirection&lt;&gt;"exit",PointName,"")</f>
        <v/>
      </c>
      <c r="C40" s="3" t="str">
        <f>IF(PointDirection&lt;&gt;"exit","exit","")</f>
        <v>exit</v>
      </c>
      <c r="D40" s="92">
        <f>CommissioningDate</f>
        <v>0</v>
      </c>
      <c r="E40" s="93">
        <v>73050</v>
      </c>
      <c r="F40" s="78" t="s">
        <v>4</v>
      </c>
      <c r="G40" s="78" t="s">
        <v>4</v>
      </c>
      <c r="H40" t="s">
        <v>174</v>
      </c>
    </row>
    <row r="41" spans="1:9">
      <c r="A41" s="3">
        <f>IF(PointDirection&lt;&gt;"entry",AdjacentTSO,"")</f>
        <v>0</v>
      </c>
      <c r="B41" s="3" t="str">
        <f>IF(PointDirection&lt;&gt;"entry",PointName,"")</f>
        <v/>
      </c>
      <c r="C41" s="3" t="str">
        <f>IF(PointDirection&lt;&gt;"entry","entry","")</f>
        <v>entry</v>
      </c>
      <c r="D41" s="92">
        <f>CommissioningDate</f>
        <v>0</v>
      </c>
      <c r="E41" s="93">
        <v>73050</v>
      </c>
      <c r="F41" s="79" t="s">
        <v>4</v>
      </c>
      <c r="G41" s="79" t="s">
        <v>4</v>
      </c>
      <c r="H41" t="s">
        <v>174</v>
      </c>
    </row>
    <row r="43" spans="1:9">
      <c r="A43" s="42" t="s">
        <v>145</v>
      </c>
      <c r="B43" s="42"/>
      <c r="C43" s="42"/>
      <c r="D43" s="42"/>
      <c r="E43" s="42"/>
    </row>
    <row r="44" spans="1:9">
      <c r="A44" s="42" t="s">
        <v>152</v>
      </c>
      <c r="B44" s="42"/>
      <c r="C44" s="42"/>
      <c r="D44" s="42"/>
      <c r="E44" s="42"/>
    </row>
    <row r="45" spans="1:9" ht="29">
      <c r="A45" s="68" t="s">
        <v>170</v>
      </c>
      <c r="B45" s="68"/>
      <c r="C45" s="68" t="s">
        <v>146</v>
      </c>
      <c r="D45" s="68" t="s">
        <v>147</v>
      </c>
      <c r="E45" s="68" t="s">
        <v>148</v>
      </c>
      <c r="F45" s="68" t="s">
        <v>149</v>
      </c>
      <c r="G45" s="80" t="s">
        <v>172</v>
      </c>
      <c r="H45" s="80" t="s">
        <v>173</v>
      </c>
      <c r="I45" s="68" t="s">
        <v>150</v>
      </c>
    </row>
    <row r="46" spans="1:9">
      <c r="A46" s="3" t="str">
        <f>IF(C38&lt;&gt;"",CONCATENATE(A38,"/",B38,"/",C38),"")</f>
        <v>0//entry</v>
      </c>
      <c r="B46" s="3"/>
      <c r="C46" s="3">
        <f>IF(PointDirection&lt;&gt;"exit",AdjacentGasSystem,"")</f>
        <v>0</v>
      </c>
      <c r="D46" s="3">
        <f>IF(PointDirection&lt;&gt;"exit",HomeGasSystem,"")</f>
        <v>0</v>
      </c>
      <c r="E46" s="2"/>
      <c r="F46" s="2"/>
      <c r="G46" s="76" t="s">
        <v>4</v>
      </c>
      <c r="H46" s="76" t="s">
        <v>4</v>
      </c>
      <c r="I46" s="75" t="s">
        <v>151</v>
      </c>
    </row>
    <row r="47" spans="1:9">
      <c r="A47" s="3" t="str">
        <f>IF(C39&lt;&gt;"",CONCATENATE(A39,"/",B39,"/",C39),"")</f>
        <v>0//exit</v>
      </c>
      <c r="B47" s="3"/>
      <c r="C47" s="3">
        <f>IF(PointDirection&lt;&gt;"entry",HomeGasSystem,"")</f>
        <v>0</v>
      </c>
      <c r="D47" s="3">
        <f>IF(PointDirection&lt;&gt;"entry",AdjacentGasSystem,"")</f>
        <v>0</v>
      </c>
      <c r="E47" s="2"/>
      <c r="F47" s="2"/>
      <c r="G47" s="77" t="s">
        <v>4</v>
      </c>
      <c r="H47" s="77" t="s">
        <v>4</v>
      </c>
      <c r="I47" s="48" t="s">
        <v>151</v>
      </c>
    </row>
    <row r="48" spans="1:9">
      <c r="A48" s="3" t="str">
        <f>IF(C40&lt;&gt;"",CONCATENATE(A40,"/",B40,"/",C40),"")</f>
        <v>0//exit</v>
      </c>
      <c r="B48" s="3"/>
      <c r="C48" s="3">
        <f>IF(PointDirection&lt;&gt;"exit",AdjacentGasSystem,"")</f>
        <v>0</v>
      </c>
      <c r="D48" s="3">
        <f>IF(PointDirection&lt;&gt;"exit",HomeGasSystem,"")</f>
        <v>0</v>
      </c>
      <c r="E48" s="2"/>
      <c r="F48" s="2"/>
      <c r="G48" s="78" t="s">
        <v>4</v>
      </c>
      <c r="H48" s="78" t="s">
        <v>4</v>
      </c>
      <c r="I48" s="48" t="s">
        <v>151</v>
      </c>
    </row>
    <row r="49" spans="1:9">
      <c r="A49" s="3" t="str">
        <f>IF(C41&lt;&gt;"",CONCATENATE(A41,"/",B41,"/",C41),"")</f>
        <v>0//entry</v>
      </c>
      <c r="B49" s="3"/>
      <c r="C49" s="3">
        <f>IF(PointDirection&lt;&gt;"entry",HomeGasSystem,"")</f>
        <v>0</v>
      </c>
      <c r="D49" s="3">
        <f>IF(PointDirection&lt;&gt;"entry",AdjacentGasSystem,"")</f>
        <v>0</v>
      </c>
      <c r="E49" s="2"/>
      <c r="F49" s="2"/>
      <c r="G49" s="79" t="s">
        <v>4</v>
      </c>
      <c r="H49" s="79" t="s">
        <v>4</v>
      </c>
      <c r="I49" s="48" t="s">
        <v>151</v>
      </c>
    </row>
    <row r="51" spans="1:9">
      <c r="A51" s="42" t="s">
        <v>158</v>
      </c>
      <c r="B51" s="42"/>
      <c r="C51" s="42"/>
      <c r="D51" s="42"/>
      <c r="E51" s="42"/>
    </row>
    <row r="52" spans="1:9">
      <c r="A52" t="s">
        <v>160</v>
      </c>
    </row>
    <row r="53" spans="1:9">
      <c r="A53" t="s">
        <v>161</v>
      </c>
      <c r="B53" s="67" t="s">
        <v>159</v>
      </c>
    </row>
    <row r="54" spans="1:9">
      <c r="A54" s="69" t="s">
        <v>162</v>
      </c>
      <c r="B54" s="69"/>
      <c r="C54" s="69"/>
      <c r="D54" s="69"/>
      <c r="E54" s="69"/>
    </row>
    <row r="55" spans="1:9">
      <c r="A55" s="69" t="s">
        <v>163</v>
      </c>
      <c r="B55" s="69"/>
      <c r="C55" s="69"/>
      <c r="D55" s="69"/>
      <c r="E55" s="69"/>
    </row>
    <row r="57" spans="1:9">
      <c r="A57" s="42" t="s">
        <v>153</v>
      </c>
      <c r="B57" s="42"/>
      <c r="C57" s="42"/>
      <c r="D57" s="42"/>
      <c r="E57" s="42"/>
    </row>
    <row r="58" spans="1:9" ht="29">
      <c r="A58" s="68" t="s">
        <v>117</v>
      </c>
      <c r="B58" s="68"/>
      <c r="C58" s="68" t="s">
        <v>154</v>
      </c>
      <c r="D58" s="68"/>
      <c r="E58" s="70"/>
      <c r="F58" s="80" t="s">
        <v>172</v>
      </c>
      <c r="G58" s="80" t="s">
        <v>173</v>
      </c>
      <c r="H58" s="68" t="s">
        <v>155</v>
      </c>
    </row>
    <row r="59" spans="1:9">
      <c r="A59" s="3" t="str">
        <f>IF(C38&lt;&gt;"",CONCATENATE(A38,"/",B38,"/",C38),"")</f>
        <v>0//entry</v>
      </c>
      <c r="B59" s="3"/>
      <c r="C59" s="92" t="str">
        <f>IF(AND(C38&lt;&gt;"",EIC&lt;&gt;""),CONCATENATE(EIC,"/TSOEICCODE/",C38),"")</f>
        <v/>
      </c>
      <c r="D59" s="92"/>
      <c r="E59" s="3"/>
      <c r="F59" s="76" t="s">
        <v>4</v>
      </c>
      <c r="G59" s="76" t="s">
        <v>4</v>
      </c>
      <c r="H59" s="75" t="s">
        <v>156</v>
      </c>
    </row>
    <row r="60" spans="1:9">
      <c r="A60" s="3" t="str">
        <f>IF(C39&lt;&gt;"",CONCATENATE(A39,"/",B39,"/",C39),"")</f>
        <v>0//exit</v>
      </c>
      <c r="B60" s="3"/>
      <c r="C60" s="92" t="str">
        <f>IF(AND(C39&lt;&gt;"",EIC&lt;&gt;""),CONCATENATE(EIC,"/TSOEICCODE/",C39),"")</f>
        <v/>
      </c>
      <c r="D60" s="92"/>
      <c r="E60" s="3"/>
      <c r="F60" s="77" t="s">
        <v>4</v>
      </c>
      <c r="G60" s="77" t="s">
        <v>4</v>
      </c>
      <c r="H60" s="48" t="s">
        <v>156</v>
      </c>
    </row>
    <row r="61" spans="1:9">
      <c r="A61" s="3" t="str">
        <f>IF(C40&lt;&gt;"",CONCATENATE(A40,"/",B40,"/",C40),"")</f>
        <v>0//exit</v>
      </c>
      <c r="B61" s="3"/>
      <c r="C61" s="82"/>
      <c r="D61" s="82"/>
      <c r="E61" s="81"/>
      <c r="F61" s="78"/>
      <c r="G61" s="78"/>
      <c r="H61" s="48" t="s">
        <v>157</v>
      </c>
    </row>
    <row r="62" spans="1:9">
      <c r="A62" s="3" t="str">
        <f>IF(C41&lt;&gt;"",CONCATENATE(A41,"/",B41,"/",C41),"")</f>
        <v>0//entry</v>
      </c>
      <c r="B62" s="3"/>
      <c r="C62" s="82"/>
      <c r="D62" s="82"/>
      <c r="E62" s="81"/>
      <c r="F62" s="79"/>
      <c r="G62" s="79"/>
      <c r="H62" s="48" t="s">
        <v>157</v>
      </c>
    </row>
    <row r="64" spans="1:9">
      <c r="A64" s="42" t="s">
        <v>197</v>
      </c>
      <c r="B64" s="42"/>
      <c r="C64" s="42"/>
      <c r="D64" s="42"/>
      <c r="E64" s="42"/>
      <c r="F64" s="98" t="str">
        <f>IF(OR(isPipeInPipe="Yes",IsRedundant="Yes",AND(IsVirtual="Physical",VirtualPoint&lt;&gt;"")),"Necessary","Skip")</f>
        <v>Skip</v>
      </c>
    </row>
    <row r="65" spans="1:11">
      <c r="A65" t="s">
        <v>199</v>
      </c>
    </row>
    <row r="66" spans="1:11" ht="29.5" thickBot="1">
      <c r="A66" s="86" t="s">
        <v>180</v>
      </c>
      <c r="B66" s="86" t="s">
        <v>175</v>
      </c>
      <c r="C66" s="86" t="s">
        <v>176</v>
      </c>
      <c r="D66" s="86" t="s">
        <v>177</v>
      </c>
      <c r="E66" s="86" t="s">
        <v>178</v>
      </c>
      <c r="F66" s="86" t="s">
        <v>179</v>
      </c>
      <c r="G66" s="86" t="s">
        <v>181</v>
      </c>
      <c r="H66" s="86" t="s">
        <v>138</v>
      </c>
      <c r="I66" s="80" t="s">
        <v>172</v>
      </c>
      <c r="J66" s="80" t="s">
        <v>173</v>
      </c>
      <c r="K66" s="83" t="s">
        <v>155</v>
      </c>
    </row>
    <row r="67" spans="1:11" ht="15.5" thickTop="1" thickBot="1">
      <c r="A67" s="94"/>
      <c r="B67" s="88" t="str">
        <f>IF(AND(IsVirtual="Physical",VirtualPoint&lt;&gt;""),CommerciallySince,"")</f>
        <v/>
      </c>
      <c r="C67" s="88" t="str">
        <f>IF(AND(IsVirtual="Physical",VirtualPoint&lt;&gt;""),OperationallySince,"")</f>
        <v/>
      </c>
      <c r="D67" s="10">
        <f>isPipeInPipe</f>
        <v>0</v>
      </c>
      <c r="E67" s="87" t="str">
        <f>IF(OR(isPipeInPipe="Yes",IsRedundant="Yes",AND(IsVirtual="Physical",VirtualPoint&lt;&gt;"")),CONCATENATE(A33,"/",B33),"")</f>
        <v/>
      </c>
      <c r="F67" s="87" t="str">
        <f>IF(isPipeInPipe="Yes",CONCATENATE(PipeInPipeDriver,"/",PointName),IF(IsRedundant="Yes",CONCATENATE(RedundantOperator,"/",PointName),IF(AND(IsVirtual="Physical",VirtualPoint&lt;&gt;""),CONCATENATE(TSO,"/",VirtualPoint),"")))</f>
        <v/>
      </c>
      <c r="G67" s="10">
        <f>IsRedundant</f>
        <v>0</v>
      </c>
      <c r="H67" s="2" t="s">
        <v>4</v>
      </c>
      <c r="I67" s="76" t="s">
        <v>4</v>
      </c>
      <c r="J67" s="76" t="s">
        <v>4</v>
      </c>
      <c r="K67" s="84" t="s">
        <v>182</v>
      </c>
    </row>
    <row r="68" spans="1:11" ht="15" thickTop="1"/>
    <row r="69" spans="1:11">
      <c r="A69" s="42" t="s">
        <v>198</v>
      </c>
      <c r="B69" s="42"/>
      <c r="C69" s="42"/>
      <c r="D69" s="42"/>
      <c r="E69" s="42"/>
      <c r="F69" s="98" t="str">
        <f>IF(IsVirtual="Virtual","Necessary","Skip")</f>
        <v>Skip</v>
      </c>
    </row>
    <row r="70" spans="1:11">
      <c r="A70" t="s">
        <v>207</v>
      </c>
    </row>
    <row r="71" spans="1:11" ht="29.5" thickBot="1">
      <c r="A71" s="86" t="s">
        <v>180</v>
      </c>
      <c r="B71" s="86" t="s">
        <v>175</v>
      </c>
      <c r="C71" s="86" t="s">
        <v>176</v>
      </c>
      <c r="D71" s="86" t="s">
        <v>177</v>
      </c>
      <c r="E71" s="86" t="s">
        <v>178</v>
      </c>
      <c r="F71" s="86" t="str">
        <f>IF(AND(IsVirtual="Virtual",'Point Form'!$C51&lt;&gt;""),CONCATENATE(TSO,"/",PointName),"")</f>
        <v/>
      </c>
      <c r="G71" s="86" t="s">
        <v>181</v>
      </c>
      <c r="H71" s="86" t="s">
        <v>138</v>
      </c>
      <c r="I71" s="80" t="s">
        <v>172</v>
      </c>
      <c r="J71" s="80" t="s">
        <v>173</v>
      </c>
      <c r="K71" s="83" t="s">
        <v>155</v>
      </c>
    </row>
    <row r="72" spans="1:11" ht="15.5" thickTop="1" thickBot="1">
      <c r="A72" s="94"/>
      <c r="B72" s="88" t="str">
        <f>IF(AND(IsVirtual="Virtual",'Point Form'!$C52&lt;&gt;""),CommissioningDate,"")</f>
        <v/>
      </c>
      <c r="C72" s="88" t="str">
        <f>IF(AND(IsVirtual="Virtual",'Point Form'!$C52&lt;&gt;""),CommissioningDate,"")</f>
        <v/>
      </c>
      <c r="D72" s="14" t="s">
        <v>4</v>
      </c>
      <c r="E72" s="89" t="str">
        <f>IF(AND(IsVirtual="Virtual",'Point Form'!$C52&lt;&gt;""),CONCATENATE(TSO,"/",'Point Form'!$C52),"")</f>
        <v/>
      </c>
      <c r="F72" s="89" t="str">
        <f>IF(AND(IsVirtual="Virtual",'Point Form'!$C52&lt;&gt;""),CONCATENATE(TSO,"/",PointName),"")</f>
        <v/>
      </c>
      <c r="G72" s="14" t="s">
        <v>4</v>
      </c>
      <c r="H72" s="14" t="s">
        <v>4</v>
      </c>
      <c r="I72" s="76" t="s">
        <v>4</v>
      </c>
      <c r="J72" s="76" t="s">
        <v>4</v>
      </c>
      <c r="K72" s="84" t="s">
        <v>182</v>
      </c>
    </row>
    <row r="73" spans="1:11" ht="15.5" thickTop="1" thickBot="1">
      <c r="A73" s="95"/>
      <c r="B73" s="88" t="str">
        <f>IF(AND(IsVirtual="Virtual",'Point Form'!$C53&lt;&gt;""),CommissioningDate,"")</f>
        <v/>
      </c>
      <c r="C73" s="88" t="str">
        <f>IF(AND(IsVirtual="Virtual",'Point Form'!$C53&lt;&gt;""),CommissioningDate,"")</f>
        <v/>
      </c>
      <c r="D73" s="14" t="s">
        <v>4</v>
      </c>
      <c r="E73" s="99" t="str">
        <f>IF(AND(IsVirtual="Virtual",'Point Form'!$C53&lt;&gt;""),CONCATENATE(TSO,"/",'Point Form'!$C53),"")</f>
        <v/>
      </c>
      <c r="F73" s="99" t="str">
        <f>IF(AND(IsVirtual="Virtual",'Point Form'!$C53&lt;&gt;""),CONCATENATE(TSO,"/",PointName),"")</f>
        <v/>
      </c>
      <c r="G73" s="14" t="s">
        <v>4</v>
      </c>
      <c r="H73" s="14" t="s">
        <v>4</v>
      </c>
      <c r="I73" s="77" t="s">
        <v>4</v>
      </c>
      <c r="J73" s="77" t="s">
        <v>4</v>
      </c>
      <c r="K73" s="85"/>
    </row>
    <row r="74" spans="1:11" ht="15.5" thickTop="1" thickBot="1">
      <c r="A74" s="95"/>
      <c r="B74" s="88" t="str">
        <f>IF(AND(IsVirtual="Virtual",'Point Form'!$C54&lt;&gt;""),CommissioningDate,"")</f>
        <v/>
      </c>
      <c r="C74" s="88" t="str">
        <f>IF(AND(IsVirtual="Virtual",'Point Form'!$C54&lt;&gt;""),CommissioningDate,"")</f>
        <v/>
      </c>
      <c r="D74" s="14" t="s">
        <v>4</v>
      </c>
      <c r="E74" s="99" t="str">
        <f>IF(AND(IsVirtual="Virtual",'Point Form'!$C54&lt;&gt;""),CONCATENATE(TSO,"/",'Point Form'!$C54),"")</f>
        <v/>
      </c>
      <c r="F74" s="99" t="str">
        <f>IF(AND(IsVirtual="Virtual",'Point Form'!$C54&lt;&gt;""),CONCATENATE(TSO,"/",PointName),"")</f>
        <v/>
      </c>
      <c r="G74" s="14" t="s">
        <v>4</v>
      </c>
      <c r="H74" s="14" t="s">
        <v>4</v>
      </c>
      <c r="I74" s="78" t="s">
        <v>4</v>
      </c>
      <c r="J74" s="78" t="s">
        <v>4</v>
      </c>
      <c r="K74" s="85"/>
    </row>
    <row r="75" spans="1:11" ht="15.5" thickTop="1" thickBot="1">
      <c r="A75" s="95"/>
      <c r="B75" s="88" t="str">
        <f>IF(AND(IsVirtual="Virtual",'Point Form'!$C55&lt;&gt;""),CommissioningDate,"")</f>
        <v/>
      </c>
      <c r="C75" s="88" t="str">
        <f>IF(AND(IsVirtual="Virtual",'Point Form'!$C55&lt;&gt;""),CommissioningDate,"")</f>
        <v/>
      </c>
      <c r="D75" s="14" t="s">
        <v>4</v>
      </c>
      <c r="E75" s="99" t="str">
        <f>IF(AND(IsVirtual="Virtual",'Point Form'!$C55&lt;&gt;""),CONCATENATE(TSO,"/",'Point Form'!$C55),"")</f>
        <v/>
      </c>
      <c r="F75" s="99" t="str">
        <f>IF(AND(IsVirtual="Virtual",'Point Form'!$C55&lt;&gt;""),CONCATENATE(TSO,"/",PointName),"")</f>
        <v/>
      </c>
      <c r="G75" s="14" t="s">
        <v>4</v>
      </c>
      <c r="H75" s="14" t="s">
        <v>4</v>
      </c>
      <c r="I75" s="79" t="s">
        <v>4</v>
      </c>
      <c r="J75" s="79" t="s">
        <v>4</v>
      </c>
      <c r="K75" s="85"/>
    </row>
    <row r="76" spans="1:11" ht="15.5" thickTop="1" thickBot="1">
      <c r="A76" s="95"/>
      <c r="B76" s="88" t="str">
        <f>IF(AND(IsVirtual="Virtual",'Point Form'!$C56&lt;&gt;""),CommissioningDate,"")</f>
        <v/>
      </c>
      <c r="C76" s="88" t="str">
        <f>IF(AND(IsVirtual="Virtual",'Point Form'!$C56&lt;&gt;""),CommissioningDate,"")</f>
        <v/>
      </c>
      <c r="D76" s="14" t="s">
        <v>4</v>
      </c>
      <c r="E76" s="99" t="str">
        <f>IF(AND(IsVirtual="Virtual",'Point Form'!$C56&lt;&gt;""),CONCATENATE(TSO,"/",'Point Form'!$C56),"")</f>
        <v/>
      </c>
      <c r="F76" s="99" t="str">
        <f>IF(AND(IsVirtual="Virtual",'Point Form'!$C56&lt;&gt;""),CONCATENATE(TSO,"/",PointName),"")</f>
        <v/>
      </c>
      <c r="G76" s="14" t="s">
        <v>4</v>
      </c>
      <c r="H76" s="14" t="s">
        <v>4</v>
      </c>
      <c r="I76" s="77" t="s">
        <v>4</v>
      </c>
      <c r="J76" s="77" t="s">
        <v>4</v>
      </c>
      <c r="K76" s="85"/>
    </row>
    <row r="77" spans="1:11" ht="15.5" thickTop="1" thickBot="1">
      <c r="A77" s="95"/>
      <c r="B77" s="88" t="str">
        <f>IF(AND(IsVirtual="Virtual",'Point Form'!$C57&lt;&gt;""),CommissioningDate,"")</f>
        <v/>
      </c>
      <c r="C77" s="88" t="str">
        <f>IF(AND(IsVirtual="Virtual",'Point Form'!$C57&lt;&gt;""),CommissioningDate,"")</f>
        <v/>
      </c>
      <c r="D77" s="14" t="s">
        <v>4</v>
      </c>
      <c r="E77" s="99" t="str">
        <f>IF(AND(IsVirtual="Virtual",'Point Form'!$C57&lt;&gt;""),CONCATENATE(TSO,"/",'Point Form'!$C57),"")</f>
        <v/>
      </c>
      <c r="F77" s="99" t="str">
        <f>IF(AND(IsVirtual="Virtual",'Point Form'!$C57&lt;&gt;""),CONCATENATE(TSO,"/",PointName),"")</f>
        <v/>
      </c>
      <c r="G77" s="14" t="s">
        <v>4</v>
      </c>
      <c r="H77" s="14" t="s">
        <v>4</v>
      </c>
      <c r="I77" s="78" t="s">
        <v>4</v>
      </c>
      <c r="J77" s="78" t="s">
        <v>4</v>
      </c>
      <c r="K77" s="85"/>
    </row>
    <row r="78" spans="1:11" ht="15.5" thickTop="1" thickBot="1">
      <c r="A78" s="95"/>
      <c r="B78" s="88" t="str">
        <f>IF(AND(IsVirtual="Virtual",'Point Form'!$C58&lt;&gt;""),CommissioningDate,"")</f>
        <v/>
      </c>
      <c r="C78" s="88" t="str">
        <f>IF(AND(IsVirtual="Virtual",'Point Form'!$C58&lt;&gt;""),CommissioningDate,"")</f>
        <v/>
      </c>
      <c r="D78" s="14" t="s">
        <v>4</v>
      </c>
      <c r="E78" s="99" t="str">
        <f>IF(AND(IsVirtual="Virtual",'Point Form'!$C58&lt;&gt;""),CONCATENATE(TSO,"/",'Point Form'!$C58),"")</f>
        <v/>
      </c>
      <c r="F78" s="99" t="str">
        <f>IF(AND(IsVirtual="Virtual",'Point Form'!$C58&lt;&gt;""),CONCATENATE(TSO,"/",PointName),"")</f>
        <v/>
      </c>
      <c r="G78" s="14" t="s">
        <v>4</v>
      </c>
      <c r="H78" s="14" t="s">
        <v>4</v>
      </c>
      <c r="I78" s="78" t="s">
        <v>4</v>
      </c>
      <c r="J78" s="78" t="s">
        <v>4</v>
      </c>
      <c r="K78" s="85"/>
    </row>
    <row r="79" spans="1:11" ht="15.5" thickTop="1" thickBot="1">
      <c r="A79" s="95"/>
      <c r="B79" s="88" t="str">
        <f>IF(AND(IsVirtual="Virtual",'Point Form'!$C59&lt;&gt;""),CommissioningDate,"")</f>
        <v/>
      </c>
      <c r="C79" s="88" t="str">
        <f>IF(AND(IsVirtual="Virtual",'Point Form'!$C59&lt;&gt;""),CommissioningDate,"")</f>
        <v/>
      </c>
      <c r="D79" s="14" t="s">
        <v>4</v>
      </c>
      <c r="E79" s="99" t="str">
        <f>IF(AND(IsVirtual="Virtual",'Point Form'!$C59&lt;&gt;""),CONCATENATE(TSO,"/",'Point Form'!$C59),"")</f>
        <v/>
      </c>
      <c r="F79" s="99" t="str">
        <f>IF(AND(IsVirtual="Virtual",'Point Form'!$C59&lt;&gt;""),CONCATENATE(TSO,"/",PointName),"")</f>
        <v/>
      </c>
      <c r="G79" s="14" t="s">
        <v>4</v>
      </c>
      <c r="H79" s="14" t="s">
        <v>4</v>
      </c>
      <c r="I79" s="78" t="s">
        <v>4</v>
      </c>
      <c r="J79" s="78" t="s">
        <v>4</v>
      </c>
      <c r="K79" s="85"/>
    </row>
    <row r="80" spans="1:11" ht="15" thickTop="1"/>
    <row r="81" spans="1:6">
      <c r="A81" s="42" t="s">
        <v>206</v>
      </c>
      <c r="B81" s="42"/>
      <c r="C81" s="42"/>
      <c r="D81" s="42"/>
      <c r="E81" s="42"/>
      <c r="F81" s="98" t="str">
        <f>IF(IsVirtual="Virtual","Necessary","Skip")</f>
        <v>Skip</v>
      </c>
    </row>
    <row r="82" spans="1:6">
      <c r="A82" t="s">
        <v>208</v>
      </c>
    </row>
    <row r="83" spans="1:6" ht="15" thickBot="1">
      <c r="A83" s="86" t="s">
        <v>0</v>
      </c>
      <c r="B83" s="86" t="s">
        <v>86</v>
      </c>
      <c r="C83" s="80" t="s">
        <v>172</v>
      </c>
      <c r="D83" s="80" t="s">
        <v>173</v>
      </c>
      <c r="E83" s="83" t="s">
        <v>155</v>
      </c>
    </row>
    <row r="84" spans="1:6" ht="15.5" thickTop="1" thickBot="1">
      <c r="A84" s="94" t="str">
        <f>IF(AND(IsVirtual="Virtual",'Point Form'!$C52&lt;&gt;""),'Point Form'!$C52,"")</f>
        <v/>
      </c>
      <c r="B84" s="88" t="str">
        <f>IF(AND(IsVirtual="Virtual",'Point Form'!$C52&lt;&gt;""),PointName,"")</f>
        <v/>
      </c>
      <c r="C84" s="76" t="s">
        <v>4</v>
      </c>
      <c r="D84" s="76" t="s">
        <v>4</v>
      </c>
      <c r="E84" s="85" t="s">
        <v>209</v>
      </c>
    </row>
    <row r="85" spans="1:6" ht="15.5" thickTop="1" thickBot="1">
      <c r="A85" s="94" t="str">
        <f>IF(AND(IsVirtual="Virtual",'Point Form'!$C53&lt;&gt;""),'Point Form'!$C53,"")</f>
        <v/>
      </c>
      <c r="B85" s="88" t="str">
        <f>IF(AND(IsVirtual="Virtual",'Point Form'!$C53&lt;&gt;""),PointName,"")</f>
        <v/>
      </c>
      <c r="C85" s="77" t="s">
        <v>4</v>
      </c>
      <c r="D85" s="77" t="s">
        <v>4</v>
      </c>
      <c r="E85" s="85" t="s">
        <v>209</v>
      </c>
    </row>
    <row r="86" spans="1:6" ht="15.5" thickTop="1" thickBot="1">
      <c r="A86" s="94" t="str">
        <f>IF(AND(IsVirtual="Virtual",'Point Form'!$C54&lt;&gt;""),'Point Form'!$C54,"")</f>
        <v/>
      </c>
      <c r="B86" s="88" t="str">
        <f>IF(AND(IsVirtual="Virtual",'Point Form'!$C54&lt;&gt;""),PointName,"")</f>
        <v/>
      </c>
      <c r="C86" s="78" t="s">
        <v>4</v>
      </c>
      <c r="D86" s="78" t="s">
        <v>4</v>
      </c>
      <c r="E86" s="85" t="s">
        <v>209</v>
      </c>
    </row>
    <row r="87" spans="1:6" ht="15.5" thickTop="1" thickBot="1">
      <c r="A87" s="94" t="str">
        <f>IF(AND(IsVirtual="Virtual",'Point Form'!$C55&lt;&gt;""),'Point Form'!$C55,"")</f>
        <v/>
      </c>
      <c r="B87" s="88" t="str">
        <f>IF(AND(IsVirtual="Virtual",'Point Form'!$C55&lt;&gt;""),PointName,"")</f>
        <v/>
      </c>
      <c r="C87" s="79" t="s">
        <v>4</v>
      </c>
      <c r="D87" s="79" t="s">
        <v>4</v>
      </c>
      <c r="E87" s="85" t="s">
        <v>209</v>
      </c>
    </row>
    <row r="88" spans="1:6" ht="15.5" thickTop="1" thickBot="1">
      <c r="A88" s="94" t="str">
        <f>IF(AND(IsVirtual="Virtual",'Point Form'!$C56&lt;&gt;""),'Point Form'!$C56,"")</f>
        <v/>
      </c>
      <c r="B88" s="88" t="str">
        <f>IF(AND(IsVirtual="Virtual",'Point Form'!$C56&lt;&gt;""),PointName,"")</f>
        <v/>
      </c>
      <c r="C88" s="77" t="s">
        <v>4</v>
      </c>
      <c r="D88" s="77" t="s">
        <v>4</v>
      </c>
      <c r="E88" s="85" t="s">
        <v>209</v>
      </c>
    </row>
    <row r="89" spans="1:6" ht="15.5" thickTop="1" thickBot="1">
      <c r="A89" s="94" t="str">
        <f>IF(AND(IsVirtual="Virtual",'Point Form'!$C57&lt;&gt;""),'Point Form'!$C57,"")</f>
        <v/>
      </c>
      <c r="B89" s="88" t="str">
        <f>IF(AND(IsVirtual="Virtual",'Point Form'!$C57&lt;&gt;""),PointName,"")</f>
        <v/>
      </c>
      <c r="C89" s="78" t="s">
        <v>4</v>
      </c>
      <c r="D89" s="78" t="s">
        <v>4</v>
      </c>
      <c r="E89" s="85" t="s">
        <v>209</v>
      </c>
    </row>
    <row r="90" spans="1:6" ht="15.5" thickTop="1" thickBot="1">
      <c r="A90" s="94" t="str">
        <f>IF(AND(IsVirtual="Virtual",'Point Form'!$C58&lt;&gt;""),'Point Form'!$C58,"")</f>
        <v/>
      </c>
      <c r="B90" s="88" t="str">
        <f>IF(AND(IsVirtual="Virtual",'Point Form'!$C58&lt;&gt;""),PointName,"")</f>
        <v/>
      </c>
      <c r="C90" s="78" t="s">
        <v>4</v>
      </c>
      <c r="D90" s="78" t="s">
        <v>4</v>
      </c>
      <c r="E90" s="85" t="s">
        <v>209</v>
      </c>
    </row>
    <row r="91" spans="1:6" ht="15.5" thickTop="1" thickBot="1">
      <c r="A91" s="94" t="str">
        <f>IF(AND(IsVirtual="Virtual",'Point Form'!$C59&lt;&gt;""),'Point Form'!$C59,"")</f>
        <v/>
      </c>
      <c r="B91" s="88" t="str">
        <f>IF(AND(IsVirtual="Virtual",'Point Form'!$C59&lt;&gt;""),PointName,"")</f>
        <v/>
      </c>
      <c r="C91" s="78" t="s">
        <v>4</v>
      </c>
      <c r="D91" s="78" t="s">
        <v>4</v>
      </c>
      <c r="E91" s="85" t="s">
        <v>209</v>
      </c>
    </row>
    <row r="92" spans="1:6" ht="15" thickTop="1"/>
  </sheetData>
  <mergeCells count="4">
    <mergeCell ref="A27:A28"/>
    <mergeCell ref="B27:B28"/>
    <mergeCell ref="C27:C28"/>
    <mergeCell ref="D27:D28"/>
  </mergeCells>
  <conditionalFormatting sqref="F64">
    <cfRule type="cellIs" dxfId="9" priority="5" operator="equal">
      <formula>"Skip"</formula>
    </cfRule>
    <cfRule type="cellIs" dxfId="8" priority="6" operator="equal">
      <formula>"Necessary"</formula>
    </cfRule>
  </conditionalFormatting>
  <conditionalFormatting sqref="F69">
    <cfRule type="cellIs" dxfId="7" priority="3" operator="equal">
      <formula>"Skip"</formula>
    </cfRule>
    <cfRule type="cellIs" dxfId="6" priority="4" operator="equal">
      <formula>"Necessary"</formula>
    </cfRule>
  </conditionalFormatting>
  <conditionalFormatting sqref="F81">
    <cfRule type="cellIs" dxfId="5" priority="1" operator="equal">
      <formula>"Skip"</formula>
    </cfRule>
    <cfRule type="cellIs" dxfId="4" priority="2" operator="equal">
      <formula>"Necessary"</formula>
    </cfRule>
  </conditionalFormatting>
  <dataValidations count="1">
    <dataValidation type="list" allowBlank="1" showInputMessage="1" showErrorMessage="1" sqref="I67:J67 C33:D34 F38:G41 G46:H49 F59:G62 C9:D27 C29:D29 I72:J79 C84:D91" xr:uid="{00000000-0002-0000-0200-000000000000}">
      <formula1>"Yes,No"</formula1>
    </dataValidation>
  </dataValidations>
  <hyperlinks>
    <hyperlink ref="F19" r:id="rId1" xr:uid="{00000000-0004-0000-0200-000000000000}"/>
    <hyperlink ref="F20" r:id="rId2" xr:uid="{00000000-0004-0000-0200-000001000000}"/>
    <hyperlink ref="F21" r:id="rId3" xr:uid="{00000000-0004-0000-0200-000002000000}"/>
    <hyperlink ref="F22" r:id="rId4" xr:uid="{00000000-0004-0000-0200-000003000000}"/>
    <hyperlink ref="J19" r:id="rId5" xr:uid="{00000000-0004-0000-0200-000004000000}"/>
    <hyperlink ref="J20" r:id="rId6" xr:uid="{00000000-0004-0000-0200-000005000000}"/>
    <hyperlink ref="B53" r:id="rId7" xr:uid="{00000000-0004-0000-0200-000006000000}"/>
  </hyperlinks>
  <pageMargins left="0.7" right="0.7" top="0.75" bottom="0.75" header="0.3" footer="0.3"/>
  <pageSetup paperSize="9" orientation="portrait" r:id="rId8"/>
  <ignoredErrors>
    <ignoredError sqref="C47:D47 B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showGridLines="0" topLeftCell="A2" zoomScale="85" zoomScaleNormal="85" workbookViewId="0">
      <selection activeCell="C11" sqref="C11"/>
    </sheetView>
  </sheetViews>
  <sheetFormatPr defaultRowHeight="14.5"/>
  <cols>
    <col min="1" max="1" width="61.453125" customWidth="1"/>
    <col min="2" max="2" width="37.1796875" customWidth="1"/>
    <col min="3" max="3" width="52.54296875" customWidth="1"/>
  </cols>
  <sheetData>
    <row r="1" spans="1:13">
      <c r="A1" s="42" t="s">
        <v>252</v>
      </c>
      <c r="B1" s="42"/>
    </row>
    <row r="2" spans="1:13">
      <c r="A2" t="s">
        <v>253</v>
      </c>
    </row>
    <row r="3" spans="1:13">
      <c r="A3" t="s">
        <v>254</v>
      </c>
    </row>
    <row r="4" spans="1:13">
      <c r="A4" t="s">
        <v>255</v>
      </c>
    </row>
    <row r="7" spans="1:13" ht="217">
      <c r="A7" s="105" t="s">
        <v>256</v>
      </c>
      <c r="B7" s="105" t="s">
        <v>259</v>
      </c>
      <c r="C7" s="106" t="s">
        <v>232</v>
      </c>
      <c r="D7" s="107" t="s">
        <v>258</v>
      </c>
      <c r="E7" s="107" t="s">
        <v>262</v>
      </c>
      <c r="F7" s="107" t="s">
        <v>263</v>
      </c>
      <c r="G7" s="107" t="s">
        <v>264</v>
      </c>
      <c r="H7" s="107" t="s">
        <v>265</v>
      </c>
      <c r="I7" s="107" t="s">
        <v>266</v>
      </c>
      <c r="J7" s="107" t="s">
        <v>267</v>
      </c>
      <c r="K7" s="107"/>
      <c r="L7" s="107"/>
      <c r="M7" s="107"/>
    </row>
    <row r="8" spans="1:13" s="110" customFormat="1" ht="32.25" customHeight="1">
      <c r="A8" s="62" t="s">
        <v>233</v>
      </c>
      <c r="B8" s="62"/>
      <c r="C8" s="111" t="s">
        <v>248</v>
      </c>
      <c r="D8" s="112" t="s">
        <v>236</v>
      </c>
      <c r="E8" s="112" t="s">
        <v>236</v>
      </c>
      <c r="F8" s="112" t="s">
        <v>236</v>
      </c>
      <c r="G8" s="112" t="s">
        <v>236</v>
      </c>
      <c r="H8" s="112" t="s">
        <v>236</v>
      </c>
      <c r="I8" s="112" t="s">
        <v>236</v>
      </c>
      <c r="J8" s="113" t="s">
        <v>234</v>
      </c>
    </row>
    <row r="9" spans="1:13" s="110" customFormat="1" ht="32.25" customHeight="1">
      <c r="A9" s="114" t="s">
        <v>235</v>
      </c>
      <c r="B9" s="114" t="s">
        <v>260</v>
      </c>
      <c r="C9" s="115" t="s">
        <v>249</v>
      </c>
      <c r="D9" s="116" t="s">
        <v>234</v>
      </c>
      <c r="E9" s="116" t="s">
        <v>234</v>
      </c>
      <c r="F9" s="116" t="s">
        <v>234</v>
      </c>
      <c r="G9" s="116" t="s">
        <v>234</v>
      </c>
      <c r="H9" s="116" t="s">
        <v>234</v>
      </c>
      <c r="I9" s="116" t="s">
        <v>234</v>
      </c>
      <c r="J9" s="116" t="s">
        <v>234</v>
      </c>
    </row>
    <row r="10" spans="1:13" s="110" customFormat="1" ht="32.25" customHeight="1">
      <c r="A10" s="114" t="s">
        <v>237</v>
      </c>
      <c r="B10" s="114" t="s">
        <v>261</v>
      </c>
      <c r="C10" s="115" t="s">
        <v>250</v>
      </c>
      <c r="D10" s="116" t="s">
        <v>234</v>
      </c>
      <c r="E10" s="116" t="s">
        <v>234</v>
      </c>
      <c r="F10" s="116" t="s">
        <v>234</v>
      </c>
      <c r="G10" s="116" t="s">
        <v>234</v>
      </c>
      <c r="H10" s="116" t="s">
        <v>234</v>
      </c>
      <c r="I10" s="116" t="s">
        <v>234</v>
      </c>
      <c r="J10" s="117" t="s">
        <v>236</v>
      </c>
    </row>
    <row r="11" spans="1:13" s="110" customFormat="1" ht="32.25" customHeight="1">
      <c r="A11" s="114" t="s">
        <v>238</v>
      </c>
      <c r="B11" s="114" t="s">
        <v>260</v>
      </c>
      <c r="C11" s="115" t="s">
        <v>239</v>
      </c>
      <c r="D11" s="116" t="s">
        <v>234</v>
      </c>
      <c r="E11" s="116" t="s">
        <v>234</v>
      </c>
      <c r="F11" s="116" t="s">
        <v>234</v>
      </c>
      <c r="G11" s="116" t="s">
        <v>234</v>
      </c>
      <c r="H11" s="116" t="s">
        <v>234</v>
      </c>
      <c r="I11" s="116" t="s">
        <v>234</v>
      </c>
      <c r="J11" s="118" t="s">
        <v>234</v>
      </c>
    </row>
    <row r="12" spans="1:13" s="110" customFormat="1" ht="32.25" customHeight="1">
      <c r="A12" s="114" t="s">
        <v>240</v>
      </c>
      <c r="B12" s="114" t="s">
        <v>261</v>
      </c>
      <c r="C12" s="115" t="s">
        <v>241</v>
      </c>
      <c r="D12" s="116" t="s">
        <v>234</v>
      </c>
      <c r="E12" s="116" t="s">
        <v>234</v>
      </c>
      <c r="F12" s="116" t="s">
        <v>234</v>
      </c>
      <c r="G12" s="116" t="s">
        <v>234</v>
      </c>
      <c r="H12" s="116" t="s">
        <v>234</v>
      </c>
      <c r="I12" s="116" t="s">
        <v>234</v>
      </c>
      <c r="J12" s="117" t="s">
        <v>236</v>
      </c>
    </row>
    <row r="13" spans="1:13" s="110" customFormat="1" ht="32.25" customHeight="1">
      <c r="A13" s="114" t="s">
        <v>242</v>
      </c>
      <c r="B13" s="114" t="s">
        <v>261</v>
      </c>
      <c r="C13" s="115" t="s">
        <v>243</v>
      </c>
      <c r="D13" s="116" t="s">
        <v>234</v>
      </c>
      <c r="E13" s="116" t="s">
        <v>234</v>
      </c>
      <c r="F13" s="116" t="s">
        <v>234</v>
      </c>
      <c r="G13" s="116" t="s">
        <v>234</v>
      </c>
      <c r="H13" s="116" t="s">
        <v>234</v>
      </c>
      <c r="I13" s="116" t="s">
        <v>234</v>
      </c>
      <c r="J13" s="117" t="s">
        <v>236</v>
      </c>
    </row>
    <row r="14" spans="1:13" s="110" customFormat="1" ht="32.25" customHeight="1">
      <c r="A14" s="114" t="s">
        <v>244</v>
      </c>
      <c r="B14" s="114" t="s">
        <v>268</v>
      </c>
      <c r="C14" s="115" t="s">
        <v>245</v>
      </c>
      <c r="D14" s="116" t="s">
        <v>234</v>
      </c>
      <c r="E14" s="116" t="s">
        <v>234</v>
      </c>
      <c r="F14" s="116" t="s">
        <v>234</v>
      </c>
      <c r="G14" s="116" t="s">
        <v>234</v>
      </c>
      <c r="H14" s="116" t="s">
        <v>234</v>
      </c>
      <c r="I14" s="116" t="s">
        <v>234</v>
      </c>
      <c r="J14" s="116" t="s">
        <v>234</v>
      </c>
    </row>
    <row r="15" spans="1:13" s="110" customFormat="1" ht="32.25" customHeight="1">
      <c r="A15" s="114" t="s">
        <v>269</v>
      </c>
      <c r="B15" s="114"/>
      <c r="C15" s="115" t="s">
        <v>246</v>
      </c>
      <c r="D15" s="116" t="s">
        <v>234</v>
      </c>
      <c r="E15" s="116" t="s">
        <v>234</v>
      </c>
      <c r="F15" s="116" t="s">
        <v>234</v>
      </c>
      <c r="G15" s="116" t="s">
        <v>234</v>
      </c>
      <c r="H15" s="116" t="s">
        <v>234</v>
      </c>
      <c r="I15" s="116" t="s">
        <v>234</v>
      </c>
      <c r="J15" s="117" t="s">
        <v>236</v>
      </c>
    </row>
    <row r="16" spans="1:13" s="110" customFormat="1" ht="32.25" customHeight="1">
      <c r="A16" s="114" t="s">
        <v>270</v>
      </c>
      <c r="B16" s="114"/>
      <c r="C16" s="115" t="s">
        <v>247</v>
      </c>
      <c r="D16" s="116" t="s">
        <v>234</v>
      </c>
      <c r="E16" s="116" t="s">
        <v>234</v>
      </c>
      <c r="F16" s="116" t="s">
        <v>234</v>
      </c>
      <c r="G16" s="116" t="s">
        <v>234</v>
      </c>
      <c r="H16" s="116" t="s">
        <v>234</v>
      </c>
      <c r="I16" s="116" t="s">
        <v>234</v>
      </c>
      <c r="J16" s="117" t="s">
        <v>236</v>
      </c>
    </row>
    <row r="17" spans="1:10" s="110" customFormat="1" ht="32.25" customHeight="1">
      <c r="A17" s="114" t="s">
        <v>271</v>
      </c>
      <c r="B17" s="114"/>
      <c r="C17" s="115" t="s">
        <v>282</v>
      </c>
      <c r="D17" s="116" t="s">
        <v>234</v>
      </c>
      <c r="E17" s="116" t="s">
        <v>234</v>
      </c>
      <c r="F17" s="116" t="s">
        <v>234</v>
      </c>
      <c r="G17" s="116" t="s">
        <v>234</v>
      </c>
      <c r="H17" s="116" t="s">
        <v>234</v>
      </c>
      <c r="I17" s="116" t="s">
        <v>234</v>
      </c>
      <c r="J17" s="117" t="s">
        <v>236</v>
      </c>
    </row>
    <row r="18" spans="1:10" s="110" customFormat="1" ht="32.25" customHeight="1">
      <c r="A18" s="114" t="s">
        <v>278</v>
      </c>
      <c r="B18" s="114"/>
      <c r="C18" s="115" t="s">
        <v>280</v>
      </c>
      <c r="D18" s="117" t="s">
        <v>236</v>
      </c>
      <c r="E18" s="117" t="s">
        <v>236</v>
      </c>
      <c r="F18" s="117" t="s">
        <v>236</v>
      </c>
      <c r="G18" s="117" t="s">
        <v>236</v>
      </c>
      <c r="H18" s="117" t="s">
        <v>236</v>
      </c>
      <c r="I18" s="117" t="s">
        <v>236</v>
      </c>
      <c r="J18" s="116" t="s">
        <v>234</v>
      </c>
    </row>
    <row r="19" spans="1:10" s="110" customFormat="1" ht="32.25" customHeight="1">
      <c r="A19" s="114" t="s">
        <v>279</v>
      </c>
      <c r="B19" s="114"/>
      <c r="C19" s="115" t="s">
        <v>281</v>
      </c>
      <c r="D19" s="117" t="s">
        <v>236</v>
      </c>
      <c r="E19" s="117" t="s">
        <v>236</v>
      </c>
      <c r="F19" s="117" t="s">
        <v>236</v>
      </c>
      <c r="G19" s="117" t="s">
        <v>236</v>
      </c>
      <c r="H19" s="117" t="s">
        <v>236</v>
      </c>
      <c r="I19" s="117" t="s">
        <v>236</v>
      </c>
      <c r="J19" s="116" t="s">
        <v>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28"/>
  <sheetViews>
    <sheetView zoomScale="80" zoomScaleNormal="80" workbookViewId="0">
      <selection activeCell="C11" sqref="C11"/>
    </sheetView>
  </sheetViews>
  <sheetFormatPr defaultRowHeight="14.5"/>
  <cols>
    <col min="1" max="1" width="31.7265625" customWidth="1"/>
    <col min="2" max="2" width="15" style="85" bestFit="1" customWidth="1"/>
    <col min="3" max="3" width="49.26953125" style="85" bestFit="1" customWidth="1"/>
    <col min="4" max="4" width="16.453125" style="85" bestFit="1" customWidth="1"/>
    <col min="5" max="5" width="13.7265625" style="85" bestFit="1" customWidth="1"/>
    <col min="6" max="6" width="15.26953125" style="85" bestFit="1" customWidth="1"/>
    <col min="7" max="7" width="12.7265625" style="85" bestFit="1" customWidth="1"/>
    <col min="8" max="8" width="14.453125" style="85" bestFit="1" customWidth="1"/>
    <col min="9" max="9" width="14.81640625" style="85" bestFit="1" customWidth="1"/>
    <col min="10" max="10" width="10.7265625" style="85" bestFit="1" customWidth="1"/>
    <col min="11" max="11" width="15.81640625" style="85" bestFit="1" customWidth="1"/>
    <col min="12" max="12" width="14.453125" style="100" bestFit="1" customWidth="1"/>
    <col min="13" max="13" width="14.81640625" style="100" bestFit="1" customWidth="1"/>
    <col min="14" max="34" width="12.7265625" style="8" bestFit="1" customWidth="1"/>
  </cols>
  <sheetData>
    <row r="1" spans="1:34">
      <c r="A1" s="42" t="s">
        <v>252</v>
      </c>
      <c r="B1" s="42"/>
      <c r="C1"/>
      <c r="D1"/>
      <c r="E1"/>
      <c r="F1"/>
      <c r="G1"/>
      <c r="H1"/>
      <c r="I1"/>
      <c r="J1"/>
      <c r="K1"/>
      <c r="L1"/>
      <c r="M1"/>
      <c r="N1"/>
      <c r="O1"/>
      <c r="P1"/>
      <c r="Q1"/>
      <c r="R1"/>
      <c r="S1"/>
      <c r="T1"/>
      <c r="U1"/>
      <c r="V1"/>
      <c r="W1"/>
      <c r="X1"/>
      <c r="Y1"/>
      <c r="Z1"/>
      <c r="AA1"/>
      <c r="AB1"/>
      <c r="AC1"/>
      <c r="AD1"/>
      <c r="AE1"/>
      <c r="AF1"/>
      <c r="AG1"/>
      <c r="AH1"/>
    </row>
    <row r="2" spans="1:34">
      <c r="A2" t="s">
        <v>272</v>
      </c>
    </row>
    <row r="4" spans="1:34">
      <c r="A4" s="98" t="s">
        <v>224</v>
      </c>
      <c r="B4" s="85" t="s">
        <v>273</v>
      </c>
      <c r="C4" s="84" t="s">
        <v>258</v>
      </c>
    </row>
    <row r="5" spans="1:34">
      <c r="A5" s="98"/>
      <c r="C5" s="84" t="s">
        <v>262</v>
      </c>
    </row>
    <row r="6" spans="1:34">
      <c r="A6" s="98"/>
      <c r="C6" s="84" t="s">
        <v>263</v>
      </c>
    </row>
    <row r="7" spans="1:34">
      <c r="A7" s="98"/>
      <c r="C7" s="84" t="s">
        <v>264</v>
      </c>
    </row>
    <row r="8" spans="1:34">
      <c r="A8" s="98"/>
      <c r="C8" s="84" t="s">
        <v>265</v>
      </c>
    </row>
    <row r="9" spans="1:34">
      <c r="A9" s="98"/>
      <c r="C9" s="84" t="s">
        <v>266</v>
      </c>
    </row>
    <row r="10" spans="1:34">
      <c r="A10" s="98" t="s">
        <v>274</v>
      </c>
    </row>
    <row r="11" spans="1:34">
      <c r="A11" t="s">
        <v>225</v>
      </c>
      <c r="B11" s="91" t="s">
        <v>226</v>
      </c>
    </row>
    <row r="12" spans="1:34">
      <c r="A12" t="s">
        <v>275</v>
      </c>
      <c r="B12" s="101">
        <v>42005</v>
      </c>
      <c r="C12" s="8" t="s">
        <v>276</v>
      </c>
      <c r="D12" s="101">
        <v>45658</v>
      </c>
    </row>
    <row r="13" spans="1:34">
      <c r="B13"/>
    </row>
    <row r="14" spans="1:34" ht="43.5">
      <c r="A14" s="69" t="s">
        <v>277</v>
      </c>
      <c r="B14" s="102" t="s">
        <v>214</v>
      </c>
      <c r="C14" s="102" t="s">
        <v>215</v>
      </c>
      <c r="D14" s="102" t="s">
        <v>216</v>
      </c>
      <c r="E14" s="102" t="s">
        <v>217</v>
      </c>
      <c r="F14" s="102" t="s">
        <v>218</v>
      </c>
      <c r="G14" s="102" t="s">
        <v>219</v>
      </c>
      <c r="H14" s="102" t="s">
        <v>220</v>
      </c>
      <c r="I14" s="102" t="s">
        <v>221</v>
      </c>
      <c r="J14" s="102" t="s">
        <v>181</v>
      </c>
      <c r="K14" s="102" t="s">
        <v>227</v>
      </c>
      <c r="L14" s="103" t="s">
        <v>228</v>
      </c>
      <c r="M14" s="103" t="s">
        <v>229</v>
      </c>
      <c r="N14" s="104">
        <f>$B$12</f>
        <v>42005</v>
      </c>
      <c r="O14" s="104">
        <f>DATE(YEAR(N14)+1,1,1)</f>
        <v>42370</v>
      </c>
      <c r="P14" s="104">
        <f t="shared" ref="P14:AH14" si="0">DATE(YEAR(O14)+1,1,1)</f>
        <v>42736</v>
      </c>
      <c r="Q14" s="104">
        <f t="shared" si="0"/>
        <v>43101</v>
      </c>
      <c r="R14" s="104">
        <f t="shared" si="0"/>
        <v>43466</v>
      </c>
      <c r="S14" s="104">
        <f t="shared" si="0"/>
        <v>43831</v>
      </c>
      <c r="T14" s="104">
        <f t="shared" si="0"/>
        <v>44197</v>
      </c>
      <c r="U14" s="104">
        <f t="shared" si="0"/>
        <v>44562</v>
      </c>
      <c r="V14" s="104">
        <f t="shared" si="0"/>
        <v>44927</v>
      </c>
      <c r="W14" s="104">
        <f t="shared" si="0"/>
        <v>45292</v>
      </c>
      <c r="X14" s="104">
        <f t="shared" si="0"/>
        <v>45658</v>
      </c>
      <c r="Y14" s="104">
        <f t="shared" si="0"/>
        <v>46023</v>
      </c>
      <c r="Z14" s="104">
        <f t="shared" si="0"/>
        <v>46388</v>
      </c>
      <c r="AA14" s="104">
        <f t="shared" si="0"/>
        <v>46753</v>
      </c>
      <c r="AB14" s="104">
        <f t="shared" si="0"/>
        <v>47119</v>
      </c>
      <c r="AC14" s="104">
        <f t="shared" si="0"/>
        <v>47484</v>
      </c>
      <c r="AD14" s="104">
        <f t="shared" si="0"/>
        <v>47849</v>
      </c>
      <c r="AE14" s="104">
        <f t="shared" si="0"/>
        <v>48214</v>
      </c>
      <c r="AF14" s="104">
        <f t="shared" si="0"/>
        <v>48580</v>
      </c>
      <c r="AG14" s="104">
        <f t="shared" si="0"/>
        <v>48945</v>
      </c>
      <c r="AH14" s="104">
        <f t="shared" si="0"/>
        <v>49310</v>
      </c>
    </row>
    <row r="15" spans="1:34">
      <c r="A15" t="s">
        <v>86</v>
      </c>
      <c r="B15" s="100">
        <v>73050</v>
      </c>
      <c r="C15" s="100">
        <v>1</v>
      </c>
      <c r="D15" s="100">
        <v>1</v>
      </c>
      <c r="E15" s="100">
        <v>73050</v>
      </c>
      <c r="F15" s="100">
        <v>1</v>
      </c>
      <c r="G15" s="100">
        <v>73050</v>
      </c>
      <c r="H15" s="100"/>
      <c r="J15" s="85" t="b">
        <v>0</v>
      </c>
      <c r="K15" s="85" t="b">
        <v>0</v>
      </c>
      <c r="L15" s="100">
        <f>MIN(IF(ISBLANK(H16),DATE(2099,12,31),H16),IF(ISBLANK(H17),DATE(2099,12,31),H17))</f>
        <v>43831</v>
      </c>
      <c r="M15" s="100">
        <f>MIN(IF(ISBLANK(I16),DATE(2099,12,31),I16),IF(ISBLANK(I17),DATE(2099,12,31),I17))</f>
        <v>73050</v>
      </c>
      <c r="N15" s="8" t="str">
        <f t="shared" ref="N15:W19" si="1">IF(AND($D15&lt;=N$14,$E15&gt;=N$14,$B15&gt;=N$14,$F15&lt;=N$14,$G15&gt;=N$14,OR(valueTypeClass&lt;&gt;"commercial",ISBLANK($H15),$H15&gt;N$14),OR(valueTypeClass&lt;&gt;"operational",ISBLANK($I15),$I15&gt;N$14),OR(valueTypeClass&lt;&gt;"operational",NOT($K15)),NOT($J15),OR(valueTypeClass&lt;&gt;"commercial",$L15&lt;=N$14),OR(valueTypeClass&lt;&gt;"operational",$M15&lt;=N$14)),"Valid","Invalid")</f>
        <v>Invalid</v>
      </c>
      <c r="O15" s="8" t="str">
        <f t="shared" si="1"/>
        <v>Invalid</v>
      </c>
      <c r="P15" s="8" t="str">
        <f t="shared" si="1"/>
        <v>Invalid</v>
      </c>
      <c r="Q15" s="8" t="str">
        <f t="shared" si="1"/>
        <v>Invalid</v>
      </c>
      <c r="R15" s="8" t="str">
        <f t="shared" si="1"/>
        <v>Invalid</v>
      </c>
      <c r="S15" s="8" t="str">
        <f t="shared" si="1"/>
        <v>Valid</v>
      </c>
      <c r="T15" s="8" t="str">
        <f t="shared" si="1"/>
        <v>Valid</v>
      </c>
      <c r="U15" s="8" t="str">
        <f t="shared" si="1"/>
        <v>Valid</v>
      </c>
      <c r="V15" s="8" t="str">
        <f t="shared" si="1"/>
        <v>Valid</v>
      </c>
      <c r="W15" s="8" t="str">
        <f t="shared" si="1"/>
        <v>Valid</v>
      </c>
      <c r="X15" s="8" t="str">
        <f t="shared" ref="X15:AH19" si="2">IF(AND($D15&lt;=X$14,$E15&gt;=X$14,$B15&gt;=X$14,$F15&lt;=X$14,$G15&gt;=X$14,OR(valueTypeClass&lt;&gt;"commercial",ISBLANK($H15),$H15&gt;X$14),OR(valueTypeClass&lt;&gt;"operational",ISBLANK($I15),$I15&gt;X$14),OR(valueTypeClass&lt;&gt;"operational",NOT($K15)),NOT($J15),OR(valueTypeClass&lt;&gt;"commercial",$L15&lt;=X$14),OR(valueTypeClass&lt;&gt;"operational",$M15&lt;=X$14)),"Valid","Invalid")</f>
        <v>Valid</v>
      </c>
      <c r="Y15" s="8" t="str">
        <f t="shared" si="2"/>
        <v>Valid</v>
      </c>
      <c r="Z15" s="8" t="str">
        <f t="shared" si="2"/>
        <v>Valid</v>
      </c>
      <c r="AA15" s="8" t="str">
        <f t="shared" si="2"/>
        <v>Valid</v>
      </c>
      <c r="AB15" s="8" t="str">
        <f t="shared" si="2"/>
        <v>Valid</v>
      </c>
      <c r="AC15" s="8" t="str">
        <f t="shared" si="2"/>
        <v>Valid</v>
      </c>
      <c r="AD15" s="8" t="str">
        <f t="shared" si="2"/>
        <v>Valid</v>
      </c>
      <c r="AE15" s="8" t="str">
        <f t="shared" si="2"/>
        <v>Valid</v>
      </c>
      <c r="AF15" s="8" t="str">
        <f t="shared" si="2"/>
        <v>Valid</v>
      </c>
      <c r="AG15" s="8" t="str">
        <f t="shared" si="2"/>
        <v>Valid</v>
      </c>
      <c r="AH15" s="8" t="str">
        <f t="shared" si="2"/>
        <v>Valid</v>
      </c>
    </row>
    <row r="16" spans="1:34">
      <c r="A16" t="s">
        <v>222</v>
      </c>
      <c r="B16" s="100">
        <v>73050</v>
      </c>
      <c r="C16" s="100">
        <v>42370</v>
      </c>
      <c r="D16" s="100">
        <v>43101</v>
      </c>
      <c r="E16" s="100">
        <v>73050</v>
      </c>
      <c r="F16" s="100">
        <v>1</v>
      </c>
      <c r="G16" s="100">
        <v>73050</v>
      </c>
      <c r="H16" s="100">
        <v>43831</v>
      </c>
      <c r="J16" s="85" t="b">
        <v>0</v>
      </c>
      <c r="K16" s="85" t="b">
        <v>0</v>
      </c>
      <c r="N16" s="8" t="str">
        <f t="shared" si="1"/>
        <v>Invalid</v>
      </c>
      <c r="O16" s="8" t="str">
        <f t="shared" si="1"/>
        <v>Invalid</v>
      </c>
      <c r="P16" s="8" t="str">
        <f t="shared" si="1"/>
        <v>Invalid</v>
      </c>
      <c r="Q16" s="8" t="str">
        <f t="shared" si="1"/>
        <v>Valid</v>
      </c>
      <c r="R16" s="8" t="str">
        <f t="shared" si="1"/>
        <v>Valid</v>
      </c>
      <c r="S16" s="8" t="str">
        <f t="shared" si="1"/>
        <v>Invalid</v>
      </c>
      <c r="T16" s="8" t="str">
        <f t="shared" si="1"/>
        <v>Invalid</v>
      </c>
      <c r="U16" s="8" t="str">
        <f t="shared" si="1"/>
        <v>Invalid</v>
      </c>
      <c r="V16" s="8" t="str">
        <f t="shared" si="1"/>
        <v>Invalid</v>
      </c>
      <c r="W16" s="8" t="str">
        <f t="shared" si="1"/>
        <v>Invalid</v>
      </c>
      <c r="X16" s="8" t="str">
        <f t="shared" si="2"/>
        <v>Invalid</v>
      </c>
      <c r="Y16" s="8" t="str">
        <f t="shared" si="2"/>
        <v>Invalid</v>
      </c>
      <c r="Z16" s="8" t="str">
        <f t="shared" si="2"/>
        <v>Invalid</v>
      </c>
      <c r="AA16" s="8" t="str">
        <f t="shared" si="2"/>
        <v>Invalid</v>
      </c>
      <c r="AB16" s="8" t="str">
        <f t="shared" si="2"/>
        <v>Invalid</v>
      </c>
      <c r="AC16" s="8" t="str">
        <f t="shared" si="2"/>
        <v>Invalid</v>
      </c>
      <c r="AD16" s="8" t="str">
        <f t="shared" si="2"/>
        <v>Invalid</v>
      </c>
      <c r="AE16" s="8" t="str">
        <f t="shared" si="2"/>
        <v>Invalid</v>
      </c>
      <c r="AF16" s="8" t="str">
        <f t="shared" si="2"/>
        <v>Invalid</v>
      </c>
      <c r="AG16" s="8" t="str">
        <f t="shared" si="2"/>
        <v>Invalid</v>
      </c>
      <c r="AH16" s="8" t="str">
        <f t="shared" si="2"/>
        <v>Invalid</v>
      </c>
    </row>
    <row r="17" spans="1:34">
      <c r="A17" t="s">
        <v>223</v>
      </c>
      <c r="B17" s="100">
        <v>73050</v>
      </c>
      <c r="C17" s="100">
        <v>42370</v>
      </c>
      <c r="D17" s="100">
        <v>43101</v>
      </c>
      <c r="E17" s="100">
        <v>73050</v>
      </c>
      <c r="F17" s="100">
        <v>1</v>
      </c>
      <c r="G17" s="100">
        <v>73050</v>
      </c>
      <c r="H17" s="100">
        <v>43831</v>
      </c>
      <c r="J17" s="85" t="b">
        <v>0</v>
      </c>
      <c r="K17" s="85" t="b">
        <v>0</v>
      </c>
      <c r="N17" s="8" t="str">
        <f t="shared" si="1"/>
        <v>Invalid</v>
      </c>
      <c r="O17" s="8" t="str">
        <f t="shared" si="1"/>
        <v>Invalid</v>
      </c>
      <c r="P17" s="8" t="str">
        <f t="shared" si="1"/>
        <v>Invalid</v>
      </c>
      <c r="Q17" s="8" t="str">
        <f t="shared" si="1"/>
        <v>Valid</v>
      </c>
      <c r="R17" s="8" t="str">
        <f t="shared" si="1"/>
        <v>Valid</v>
      </c>
      <c r="S17" s="8" t="str">
        <f t="shared" si="1"/>
        <v>Invalid</v>
      </c>
      <c r="T17" s="8" t="str">
        <f t="shared" si="1"/>
        <v>Invalid</v>
      </c>
      <c r="U17" s="8" t="str">
        <f t="shared" si="1"/>
        <v>Invalid</v>
      </c>
      <c r="V17" s="8" t="str">
        <f t="shared" si="1"/>
        <v>Invalid</v>
      </c>
      <c r="W17" s="8" t="str">
        <f t="shared" si="1"/>
        <v>Invalid</v>
      </c>
      <c r="X17" s="8" t="str">
        <f t="shared" si="2"/>
        <v>Invalid</v>
      </c>
      <c r="Y17" s="8" t="str">
        <f t="shared" si="2"/>
        <v>Invalid</v>
      </c>
      <c r="Z17" s="8" t="str">
        <f t="shared" si="2"/>
        <v>Invalid</v>
      </c>
      <c r="AA17" s="8" t="str">
        <f t="shared" si="2"/>
        <v>Invalid</v>
      </c>
      <c r="AB17" s="8" t="str">
        <f t="shared" si="2"/>
        <v>Invalid</v>
      </c>
      <c r="AC17" s="8" t="str">
        <f t="shared" si="2"/>
        <v>Invalid</v>
      </c>
      <c r="AD17" s="8" t="str">
        <f t="shared" si="2"/>
        <v>Invalid</v>
      </c>
      <c r="AE17" s="8" t="str">
        <f t="shared" si="2"/>
        <v>Invalid</v>
      </c>
      <c r="AF17" s="8" t="str">
        <f t="shared" si="2"/>
        <v>Invalid</v>
      </c>
      <c r="AG17" s="8" t="str">
        <f t="shared" si="2"/>
        <v>Invalid</v>
      </c>
      <c r="AH17" s="8" t="str">
        <f t="shared" si="2"/>
        <v>Invalid</v>
      </c>
    </row>
    <row r="18" spans="1:34">
      <c r="A18" t="s">
        <v>230</v>
      </c>
      <c r="B18" s="100">
        <v>73050</v>
      </c>
      <c r="C18" s="100">
        <v>42736</v>
      </c>
      <c r="D18" s="100">
        <v>2</v>
      </c>
      <c r="E18" s="100">
        <v>73050</v>
      </c>
      <c r="F18" s="100">
        <v>2</v>
      </c>
      <c r="G18" s="100">
        <v>73050</v>
      </c>
      <c r="J18" s="85" t="b">
        <v>0</v>
      </c>
      <c r="K18" s="85" t="b">
        <v>1</v>
      </c>
      <c r="N18" s="8" t="str">
        <f t="shared" si="1"/>
        <v>Valid</v>
      </c>
      <c r="O18" s="8" t="str">
        <f t="shared" si="1"/>
        <v>Valid</v>
      </c>
      <c r="P18" s="8" t="str">
        <f t="shared" si="1"/>
        <v>Valid</v>
      </c>
      <c r="Q18" s="8" t="str">
        <f t="shared" si="1"/>
        <v>Valid</v>
      </c>
      <c r="R18" s="8" t="str">
        <f t="shared" si="1"/>
        <v>Valid</v>
      </c>
      <c r="S18" s="8" t="str">
        <f t="shared" si="1"/>
        <v>Valid</v>
      </c>
      <c r="T18" s="8" t="str">
        <f t="shared" si="1"/>
        <v>Valid</v>
      </c>
      <c r="U18" s="8" t="str">
        <f t="shared" si="1"/>
        <v>Valid</v>
      </c>
      <c r="V18" s="8" t="str">
        <f t="shared" si="1"/>
        <v>Valid</v>
      </c>
      <c r="W18" s="8" t="str">
        <f t="shared" si="1"/>
        <v>Valid</v>
      </c>
      <c r="X18" s="8" t="str">
        <f t="shared" si="2"/>
        <v>Valid</v>
      </c>
      <c r="Y18" s="8" t="str">
        <f t="shared" si="2"/>
        <v>Valid</v>
      </c>
      <c r="Z18" s="8" t="str">
        <f t="shared" si="2"/>
        <v>Valid</v>
      </c>
      <c r="AA18" s="8" t="str">
        <f t="shared" si="2"/>
        <v>Valid</v>
      </c>
      <c r="AB18" s="8" t="str">
        <f t="shared" si="2"/>
        <v>Valid</v>
      </c>
      <c r="AC18" s="8" t="str">
        <f t="shared" si="2"/>
        <v>Valid</v>
      </c>
      <c r="AD18" s="8" t="str">
        <f t="shared" si="2"/>
        <v>Valid</v>
      </c>
      <c r="AE18" s="8" t="str">
        <f t="shared" si="2"/>
        <v>Valid</v>
      </c>
      <c r="AF18" s="8" t="str">
        <f t="shared" si="2"/>
        <v>Valid</v>
      </c>
      <c r="AG18" s="8" t="str">
        <f t="shared" si="2"/>
        <v>Valid</v>
      </c>
      <c r="AH18" s="8" t="str">
        <f t="shared" si="2"/>
        <v>Valid</v>
      </c>
    </row>
    <row r="19" spans="1:34">
      <c r="A19" t="s">
        <v>231</v>
      </c>
      <c r="B19" s="100">
        <v>73050</v>
      </c>
      <c r="C19" s="100">
        <v>42736</v>
      </c>
      <c r="D19" s="100">
        <v>2</v>
      </c>
      <c r="E19" s="100">
        <v>73050</v>
      </c>
      <c r="F19" s="100">
        <v>2</v>
      </c>
      <c r="G19" s="100">
        <v>73050</v>
      </c>
      <c r="J19" s="85" t="b">
        <v>1</v>
      </c>
      <c r="K19" s="85" t="b">
        <v>0</v>
      </c>
      <c r="N19" s="8" t="str">
        <f t="shared" si="1"/>
        <v>Invalid</v>
      </c>
      <c r="O19" s="8" t="str">
        <f t="shared" si="1"/>
        <v>Invalid</v>
      </c>
      <c r="P19" s="8" t="str">
        <f t="shared" si="1"/>
        <v>Invalid</v>
      </c>
      <c r="Q19" s="8" t="str">
        <f t="shared" si="1"/>
        <v>Invalid</v>
      </c>
      <c r="R19" s="8" t="str">
        <f t="shared" si="1"/>
        <v>Invalid</v>
      </c>
      <c r="S19" s="8" t="str">
        <f t="shared" si="1"/>
        <v>Invalid</v>
      </c>
      <c r="T19" s="8" t="str">
        <f t="shared" si="1"/>
        <v>Invalid</v>
      </c>
      <c r="U19" s="8" t="str">
        <f t="shared" si="1"/>
        <v>Invalid</v>
      </c>
      <c r="V19" s="8" t="str">
        <f t="shared" si="1"/>
        <v>Invalid</v>
      </c>
      <c r="W19" s="8" t="str">
        <f t="shared" si="1"/>
        <v>Invalid</v>
      </c>
      <c r="X19" s="8" t="str">
        <f t="shared" si="2"/>
        <v>Invalid</v>
      </c>
      <c r="Y19" s="8" t="str">
        <f t="shared" si="2"/>
        <v>Invalid</v>
      </c>
      <c r="Z19" s="8" t="str">
        <f t="shared" si="2"/>
        <v>Invalid</v>
      </c>
      <c r="AA19" s="8" t="str">
        <f t="shared" si="2"/>
        <v>Invalid</v>
      </c>
      <c r="AB19" s="8" t="str">
        <f t="shared" si="2"/>
        <v>Invalid</v>
      </c>
      <c r="AC19" s="8" t="str">
        <f t="shared" si="2"/>
        <v>Invalid</v>
      </c>
      <c r="AD19" s="8" t="str">
        <f t="shared" si="2"/>
        <v>Invalid</v>
      </c>
      <c r="AE19" s="8" t="str">
        <f t="shared" si="2"/>
        <v>Invalid</v>
      </c>
      <c r="AF19" s="8" t="str">
        <f t="shared" si="2"/>
        <v>Invalid</v>
      </c>
      <c r="AG19" s="8" t="str">
        <f t="shared" si="2"/>
        <v>Invalid</v>
      </c>
      <c r="AH19" s="8" t="str">
        <f t="shared" si="2"/>
        <v>Invalid</v>
      </c>
    </row>
    <row r="21" spans="1:34">
      <c r="A21" s="98" t="s">
        <v>251</v>
      </c>
      <c r="B21" s="85" t="s">
        <v>273</v>
      </c>
      <c r="C21" s="84" t="s">
        <v>267</v>
      </c>
    </row>
    <row r="22" spans="1:34">
      <c r="A22" s="98" t="s">
        <v>274</v>
      </c>
      <c r="C22" s="84"/>
    </row>
    <row r="23" spans="1:34">
      <c r="A23" t="s">
        <v>213</v>
      </c>
      <c r="B23" s="101">
        <v>42005</v>
      </c>
    </row>
    <row r="24" spans="1:34">
      <c r="B24"/>
      <c r="C24"/>
      <c r="D24"/>
      <c r="E24"/>
      <c r="F24"/>
      <c r="G24"/>
      <c r="H24"/>
      <c r="I24"/>
      <c r="J24"/>
      <c r="K24"/>
      <c r="L24"/>
      <c r="M24"/>
      <c r="N24"/>
      <c r="O24"/>
      <c r="P24"/>
      <c r="Q24"/>
      <c r="R24"/>
      <c r="S24"/>
      <c r="T24"/>
      <c r="U24"/>
      <c r="V24"/>
      <c r="W24"/>
      <c r="X24"/>
      <c r="Y24"/>
      <c r="Z24"/>
      <c r="AA24"/>
      <c r="AB24"/>
      <c r="AC24"/>
      <c r="AD24"/>
      <c r="AE24"/>
      <c r="AF24"/>
      <c r="AG24"/>
      <c r="AH24"/>
    </row>
    <row r="25" spans="1:34" ht="43.5">
      <c r="A25" s="69" t="s">
        <v>277</v>
      </c>
      <c r="B25" s="102" t="s">
        <v>214</v>
      </c>
      <c r="C25" s="102" t="s">
        <v>215</v>
      </c>
      <c r="D25" s="102" t="s">
        <v>216</v>
      </c>
      <c r="E25" s="102" t="s">
        <v>217</v>
      </c>
      <c r="F25" s="102" t="s">
        <v>218</v>
      </c>
      <c r="G25" s="102" t="s">
        <v>219</v>
      </c>
      <c r="H25" s="102" t="s">
        <v>220</v>
      </c>
      <c r="I25" s="102" t="s">
        <v>221</v>
      </c>
      <c r="J25" s="102" t="s">
        <v>181</v>
      </c>
      <c r="K25" s="102"/>
      <c r="L25" s="103"/>
      <c r="M25" s="103"/>
      <c r="N25" s="104">
        <v>42005</v>
      </c>
      <c r="O25" s="104">
        <v>42370</v>
      </c>
      <c r="P25" s="104">
        <v>42736</v>
      </c>
      <c r="Q25" s="104">
        <v>43101</v>
      </c>
      <c r="R25" s="104">
        <v>43466</v>
      </c>
      <c r="S25" s="104">
        <v>43831</v>
      </c>
      <c r="T25" s="104">
        <v>44197</v>
      </c>
      <c r="U25" s="104">
        <v>44562</v>
      </c>
      <c r="V25" s="104">
        <v>44927</v>
      </c>
      <c r="W25" s="104">
        <v>45292</v>
      </c>
      <c r="X25" s="104">
        <v>45658</v>
      </c>
      <c r="Y25" s="104">
        <v>46023</v>
      </c>
      <c r="Z25" s="104">
        <v>46388</v>
      </c>
      <c r="AA25" s="104">
        <v>46753</v>
      </c>
      <c r="AB25" s="104">
        <v>47119</v>
      </c>
      <c r="AC25" s="104">
        <v>47484</v>
      </c>
      <c r="AD25" s="104">
        <v>47849</v>
      </c>
      <c r="AE25" s="104">
        <v>48214</v>
      </c>
      <c r="AF25" s="104">
        <v>48580</v>
      </c>
      <c r="AG25" s="104">
        <v>48945</v>
      </c>
      <c r="AH25" s="104">
        <v>49310</v>
      </c>
    </row>
    <row r="26" spans="1:34">
      <c r="A26" t="s">
        <v>86</v>
      </c>
      <c r="B26" s="100">
        <v>73050</v>
      </c>
      <c r="C26" s="100">
        <v>42370</v>
      </c>
      <c r="D26" s="100">
        <v>42005</v>
      </c>
      <c r="E26" s="100">
        <v>73050</v>
      </c>
      <c r="F26" s="100">
        <v>1</v>
      </c>
      <c r="G26" s="100">
        <v>73050</v>
      </c>
      <c r="J26" s="85" t="b">
        <v>0</v>
      </c>
      <c r="N26" s="8" t="str">
        <f t="shared" ref="N26:W28" si="3">IF(AND(publicationFirstDate&lt;=$B26,publicationFirstDate&lt;=$E26,$D26&lt;=N$25,IF(ISBLANK($H26),DATE(2099,12,31),$H26)&gt;publicationFirstDate,$J26=FALSE),"Valid","Invalid")</f>
        <v>Valid</v>
      </c>
      <c r="O26" s="8" t="str">
        <f t="shared" si="3"/>
        <v>Valid</v>
      </c>
      <c r="P26" s="8" t="str">
        <f t="shared" si="3"/>
        <v>Valid</v>
      </c>
      <c r="Q26" s="8" t="str">
        <f t="shared" si="3"/>
        <v>Valid</v>
      </c>
      <c r="R26" s="8" t="str">
        <f t="shared" si="3"/>
        <v>Valid</v>
      </c>
      <c r="S26" s="8" t="str">
        <f t="shared" si="3"/>
        <v>Valid</v>
      </c>
      <c r="T26" s="8" t="str">
        <f t="shared" si="3"/>
        <v>Valid</v>
      </c>
      <c r="U26" s="8" t="str">
        <f t="shared" si="3"/>
        <v>Valid</v>
      </c>
      <c r="V26" s="8" t="str">
        <f t="shared" si="3"/>
        <v>Valid</v>
      </c>
      <c r="W26" s="8" t="str">
        <f t="shared" si="3"/>
        <v>Valid</v>
      </c>
      <c r="X26" s="8" t="str">
        <f t="shared" ref="X26:AH28" si="4">IF(AND(publicationFirstDate&lt;=$B26,publicationFirstDate&lt;=$E26,$D26&lt;=X$25,IF(ISBLANK($H26),DATE(2099,12,31),$H26)&gt;publicationFirstDate,$J26=FALSE),"Valid","Invalid")</f>
        <v>Valid</v>
      </c>
      <c r="Y26" s="8" t="str">
        <f t="shared" si="4"/>
        <v>Valid</v>
      </c>
      <c r="Z26" s="8" t="str">
        <f t="shared" si="4"/>
        <v>Valid</v>
      </c>
      <c r="AA26" s="8" t="str">
        <f t="shared" si="4"/>
        <v>Valid</v>
      </c>
      <c r="AB26" s="8" t="str">
        <f t="shared" si="4"/>
        <v>Valid</v>
      </c>
      <c r="AC26" s="8" t="str">
        <f t="shared" si="4"/>
        <v>Valid</v>
      </c>
      <c r="AD26" s="8" t="str">
        <f t="shared" si="4"/>
        <v>Valid</v>
      </c>
      <c r="AE26" s="8" t="str">
        <f t="shared" si="4"/>
        <v>Valid</v>
      </c>
      <c r="AF26" s="8" t="str">
        <f t="shared" si="4"/>
        <v>Valid</v>
      </c>
      <c r="AG26" s="8" t="str">
        <f t="shared" si="4"/>
        <v>Valid</v>
      </c>
      <c r="AH26" s="8" t="str">
        <f t="shared" si="4"/>
        <v>Valid</v>
      </c>
    </row>
    <row r="27" spans="1:34">
      <c r="A27" t="s">
        <v>222</v>
      </c>
      <c r="B27" s="100">
        <v>73050</v>
      </c>
      <c r="C27" s="100">
        <v>42370</v>
      </c>
      <c r="D27" s="100">
        <v>43101</v>
      </c>
      <c r="E27" s="100">
        <v>73050</v>
      </c>
      <c r="F27" s="100">
        <v>1</v>
      </c>
      <c r="G27" s="100">
        <v>73050</v>
      </c>
      <c r="H27" s="100">
        <v>43831</v>
      </c>
      <c r="J27" s="85" t="b">
        <v>0</v>
      </c>
      <c r="N27" s="8" t="str">
        <f t="shared" si="3"/>
        <v>Invalid</v>
      </c>
      <c r="O27" s="8" t="str">
        <f t="shared" si="3"/>
        <v>Invalid</v>
      </c>
      <c r="P27" s="8" t="str">
        <f t="shared" si="3"/>
        <v>Invalid</v>
      </c>
      <c r="Q27" s="8" t="str">
        <f t="shared" si="3"/>
        <v>Valid</v>
      </c>
      <c r="R27" s="8" t="str">
        <f t="shared" si="3"/>
        <v>Valid</v>
      </c>
      <c r="S27" s="8" t="str">
        <f t="shared" si="3"/>
        <v>Valid</v>
      </c>
      <c r="T27" s="8" t="str">
        <f t="shared" si="3"/>
        <v>Valid</v>
      </c>
      <c r="U27" s="8" t="str">
        <f t="shared" si="3"/>
        <v>Valid</v>
      </c>
      <c r="V27" s="8" t="str">
        <f t="shared" si="3"/>
        <v>Valid</v>
      </c>
      <c r="W27" s="8" t="str">
        <f t="shared" si="3"/>
        <v>Valid</v>
      </c>
      <c r="X27" s="8" t="str">
        <f t="shared" si="4"/>
        <v>Valid</v>
      </c>
      <c r="Y27" s="8" t="str">
        <f t="shared" si="4"/>
        <v>Valid</v>
      </c>
      <c r="Z27" s="8" t="str">
        <f t="shared" si="4"/>
        <v>Valid</v>
      </c>
      <c r="AA27" s="8" t="str">
        <f t="shared" si="4"/>
        <v>Valid</v>
      </c>
      <c r="AB27" s="8" t="str">
        <f t="shared" si="4"/>
        <v>Valid</v>
      </c>
      <c r="AC27" s="8" t="str">
        <f t="shared" si="4"/>
        <v>Valid</v>
      </c>
      <c r="AD27" s="8" t="str">
        <f t="shared" si="4"/>
        <v>Valid</v>
      </c>
      <c r="AE27" s="8" t="str">
        <f t="shared" si="4"/>
        <v>Valid</v>
      </c>
      <c r="AF27" s="8" t="str">
        <f t="shared" si="4"/>
        <v>Valid</v>
      </c>
      <c r="AG27" s="8" t="str">
        <f t="shared" si="4"/>
        <v>Valid</v>
      </c>
      <c r="AH27" s="8" t="str">
        <f t="shared" si="4"/>
        <v>Valid</v>
      </c>
    </row>
    <row r="28" spans="1:34">
      <c r="A28" t="s">
        <v>223</v>
      </c>
      <c r="B28" s="100">
        <v>73050</v>
      </c>
      <c r="C28" s="100">
        <v>42370</v>
      </c>
      <c r="D28" s="100">
        <v>43101</v>
      </c>
      <c r="E28" s="100">
        <v>73050</v>
      </c>
      <c r="F28" s="100">
        <v>1</v>
      </c>
      <c r="G28" s="100">
        <v>73050</v>
      </c>
      <c r="H28" s="100">
        <v>43831</v>
      </c>
      <c r="J28" s="85" t="b">
        <v>0</v>
      </c>
      <c r="N28" s="8" t="str">
        <f t="shared" si="3"/>
        <v>Invalid</v>
      </c>
      <c r="O28" s="8" t="str">
        <f t="shared" si="3"/>
        <v>Invalid</v>
      </c>
      <c r="P28" s="8" t="str">
        <f t="shared" si="3"/>
        <v>Invalid</v>
      </c>
      <c r="Q28" s="8" t="str">
        <f t="shared" si="3"/>
        <v>Valid</v>
      </c>
      <c r="R28" s="8" t="str">
        <f t="shared" si="3"/>
        <v>Valid</v>
      </c>
      <c r="S28" s="8" t="str">
        <f t="shared" si="3"/>
        <v>Valid</v>
      </c>
      <c r="T28" s="8" t="str">
        <f t="shared" si="3"/>
        <v>Valid</v>
      </c>
      <c r="U28" s="8" t="str">
        <f t="shared" si="3"/>
        <v>Valid</v>
      </c>
      <c r="V28" s="8" t="str">
        <f t="shared" si="3"/>
        <v>Valid</v>
      </c>
      <c r="W28" s="8" t="str">
        <f t="shared" si="3"/>
        <v>Valid</v>
      </c>
      <c r="X28" s="8" t="str">
        <f t="shared" si="4"/>
        <v>Valid</v>
      </c>
      <c r="Y28" s="8" t="str">
        <f t="shared" si="4"/>
        <v>Valid</v>
      </c>
      <c r="Z28" s="8" t="str">
        <f t="shared" si="4"/>
        <v>Valid</v>
      </c>
      <c r="AA28" s="8" t="str">
        <f t="shared" si="4"/>
        <v>Valid</v>
      </c>
      <c r="AB28" s="8" t="str">
        <f t="shared" si="4"/>
        <v>Valid</v>
      </c>
      <c r="AC28" s="8" t="str">
        <f t="shared" si="4"/>
        <v>Valid</v>
      </c>
      <c r="AD28" s="8" t="str">
        <f t="shared" si="4"/>
        <v>Valid</v>
      </c>
      <c r="AE28" s="8" t="str">
        <f t="shared" si="4"/>
        <v>Valid</v>
      </c>
      <c r="AF28" s="8" t="str">
        <f t="shared" si="4"/>
        <v>Valid</v>
      </c>
      <c r="AG28" s="8" t="str">
        <f t="shared" si="4"/>
        <v>Valid</v>
      </c>
      <c r="AH28" s="8" t="str">
        <f t="shared" si="4"/>
        <v>Valid</v>
      </c>
    </row>
  </sheetData>
  <conditionalFormatting sqref="N2:AH23">
    <cfRule type="cellIs" dxfId="3" priority="1" operator="equal">
      <formula>"Valid"</formula>
    </cfRule>
    <cfRule type="cellIs" dxfId="2" priority="2" operator="equal">
      <formula>"Invalid"</formula>
    </cfRule>
  </conditionalFormatting>
  <conditionalFormatting sqref="N25:AH1048576">
    <cfRule type="cellIs" dxfId="1" priority="7" operator="equal">
      <formula>"Valid"</formula>
    </cfRule>
    <cfRule type="cellIs" dxfId="0" priority="8" operator="equal">
      <formula>"Invalid"</formula>
    </cfRule>
  </conditionalFormatting>
  <dataValidations count="1">
    <dataValidation type="list" allowBlank="1" showInputMessage="1" showErrorMessage="1" sqref="B11" xr:uid="{00000000-0002-0000-0400-000000000000}">
      <formula1>"commercial,operational,other"</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K15"/>
  <sheetViews>
    <sheetView workbookViewId="0">
      <selection activeCell="F34" sqref="F34"/>
    </sheetView>
  </sheetViews>
  <sheetFormatPr defaultColWidth="9.1796875" defaultRowHeight="14.5"/>
  <cols>
    <col min="1" max="1" width="7.7265625" bestFit="1" customWidth="1"/>
    <col min="2" max="2" width="49" bestFit="1" customWidth="1"/>
    <col min="5" max="6" width="24.453125" customWidth="1"/>
    <col min="7" max="7" width="45.54296875" bestFit="1" customWidth="1"/>
    <col min="8" max="8" width="17.26953125" bestFit="1" customWidth="1"/>
    <col min="9" max="9" width="23.453125" bestFit="1" customWidth="1"/>
    <col min="12" max="12" width="40.81640625" bestFit="1" customWidth="1"/>
  </cols>
  <sheetData>
    <row r="1" spans="1:11">
      <c r="A1" s="2" t="s">
        <v>28</v>
      </c>
      <c r="B1" s="2" t="s">
        <v>3</v>
      </c>
      <c r="C1" s="2" t="s">
        <v>47</v>
      </c>
      <c r="D1" s="2" t="s">
        <v>94</v>
      </c>
      <c r="E1" s="123" t="s">
        <v>295</v>
      </c>
      <c r="F1" s="123" t="s">
        <v>305</v>
      </c>
      <c r="G1" s="3" t="s">
        <v>31</v>
      </c>
      <c r="H1" s="3" t="s">
        <v>29</v>
      </c>
      <c r="I1" s="3" t="s">
        <v>30</v>
      </c>
      <c r="K1" s="63" t="s">
        <v>112</v>
      </c>
    </row>
    <row r="2" spans="1:11">
      <c r="A2" t="s">
        <v>5</v>
      </c>
      <c r="B2" t="s">
        <v>33</v>
      </c>
      <c r="C2" t="s">
        <v>48</v>
      </c>
      <c r="D2" t="s">
        <v>95</v>
      </c>
      <c r="E2" t="s">
        <v>296</v>
      </c>
      <c r="F2" t="s">
        <v>301</v>
      </c>
      <c r="G2" t="s">
        <v>39</v>
      </c>
      <c r="H2" t="s">
        <v>6</v>
      </c>
      <c r="I2" t="s">
        <v>7</v>
      </c>
      <c r="K2" t="s">
        <v>113</v>
      </c>
    </row>
    <row r="3" spans="1:11">
      <c r="A3" t="s">
        <v>4</v>
      </c>
      <c r="B3" t="s">
        <v>34</v>
      </c>
      <c r="C3" t="s">
        <v>49</v>
      </c>
      <c r="D3" t="s">
        <v>96</v>
      </c>
      <c r="E3" t="s">
        <v>297</v>
      </c>
      <c r="F3" t="s">
        <v>302</v>
      </c>
      <c r="G3" t="s">
        <v>55</v>
      </c>
      <c r="H3" t="s">
        <v>6</v>
      </c>
      <c r="I3" t="s">
        <v>8</v>
      </c>
      <c r="K3" t="s">
        <v>114</v>
      </c>
    </row>
    <row r="4" spans="1:11">
      <c r="B4" t="s">
        <v>35</v>
      </c>
      <c r="C4" t="s">
        <v>50</v>
      </c>
      <c r="E4" t="s">
        <v>298</v>
      </c>
      <c r="F4" t="s">
        <v>303</v>
      </c>
      <c r="G4" t="s">
        <v>40</v>
      </c>
      <c r="H4" t="s">
        <v>6</v>
      </c>
      <c r="I4" t="s">
        <v>9</v>
      </c>
      <c r="K4" t="s">
        <v>116</v>
      </c>
    </row>
    <row r="5" spans="1:11">
      <c r="B5" t="s">
        <v>22</v>
      </c>
      <c r="E5" t="s">
        <v>299</v>
      </c>
      <c r="F5" t="s">
        <v>304</v>
      </c>
      <c r="G5" t="s">
        <v>56</v>
      </c>
      <c r="H5" t="s">
        <v>6</v>
      </c>
      <c r="I5" t="s">
        <v>10</v>
      </c>
      <c r="K5" t="s">
        <v>115</v>
      </c>
    </row>
    <row r="6" spans="1:11">
      <c r="B6" t="s">
        <v>25</v>
      </c>
      <c r="G6" t="s">
        <v>57</v>
      </c>
      <c r="H6" t="s">
        <v>11</v>
      </c>
      <c r="I6" t="s">
        <v>12</v>
      </c>
    </row>
    <row r="7" spans="1:11">
      <c r="B7" t="s">
        <v>36</v>
      </c>
      <c r="G7" t="s">
        <v>84</v>
      </c>
      <c r="H7" t="s">
        <v>11</v>
      </c>
      <c r="I7" t="s">
        <v>85</v>
      </c>
    </row>
    <row r="8" spans="1:11" ht="15" customHeight="1">
      <c r="B8" t="s">
        <v>37</v>
      </c>
      <c r="G8" t="s">
        <v>58</v>
      </c>
      <c r="H8" t="s">
        <v>6</v>
      </c>
      <c r="I8" t="s">
        <v>13</v>
      </c>
    </row>
    <row r="9" spans="1:11" ht="15" customHeight="1">
      <c r="B9" t="s">
        <v>38</v>
      </c>
      <c r="G9" t="s">
        <v>59</v>
      </c>
      <c r="H9" t="s">
        <v>14</v>
      </c>
      <c r="I9" t="s">
        <v>15</v>
      </c>
    </row>
    <row r="10" spans="1:11" ht="15" customHeight="1">
      <c r="G10" t="s">
        <v>60</v>
      </c>
      <c r="H10" t="s">
        <v>16</v>
      </c>
      <c r="I10" t="s">
        <v>17</v>
      </c>
    </row>
    <row r="11" spans="1:11" ht="15" customHeight="1">
      <c r="G11" t="s">
        <v>61</v>
      </c>
      <c r="H11" t="s">
        <v>18</v>
      </c>
      <c r="I11" t="s">
        <v>19</v>
      </c>
    </row>
    <row r="12" spans="1:11" ht="15" customHeight="1">
      <c r="G12" t="s">
        <v>62</v>
      </c>
      <c r="H12" t="s">
        <v>20</v>
      </c>
      <c r="I12" t="s">
        <v>21</v>
      </c>
    </row>
    <row r="13" spans="1:11" ht="15" customHeight="1">
      <c r="G13" t="s">
        <v>63</v>
      </c>
      <c r="H13" t="s">
        <v>23</v>
      </c>
      <c r="I13" t="s">
        <v>24</v>
      </c>
    </row>
    <row r="14" spans="1:11" ht="15" customHeight="1">
      <c r="G14" t="s">
        <v>64</v>
      </c>
      <c r="H14" t="s">
        <v>26</v>
      </c>
      <c r="I14" t="s">
        <v>27</v>
      </c>
    </row>
    <row r="15" spans="1:11" ht="15" customHeight="1">
      <c r="G15" s="5"/>
    </row>
  </sheetData>
  <sortState xmlns:xlrd2="http://schemas.microsoft.com/office/spreadsheetml/2017/richdata2" ref="B2:B10">
    <sortCondition ref="B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7" ma:contentTypeDescription="Create a new document." ma:contentTypeScope="" ma:versionID="20f57d6544903d397a96d8435c5ef159">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2867fa654962e772bedb73a9db20bb7a"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9f341b7-1cc6-4f7d-a23c-d8e53df16cc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a8895ba9-6df1-46f9-870e-05eb7a12a4ff}" ma:internalName="TaxCatchAll" ma:showField="CatchAllData" ma:web="37ee97b4-73a0-450c-8517-7d8a14946e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7ee97b4-73a0-450c-8517-7d8a14946e68" xsi:nil="true"/>
    <lcf76f155ced4ddcb4097134ff3c332f xmlns="660daea1-89f2-4198-b72b-53d8a9749dfb">
      <Terms xmlns="http://schemas.microsoft.com/office/infopath/2007/PartnerControls"/>
    </lcf76f155ced4ddcb4097134ff3c332f>
  </documentManagement>
</p:properties>
</file>

<file path=customXml/item3.xml>��< ? x m l   v e r s i o n = " 1 . 0 "   e n c o d i n g = " u t f - 1 6 " ? > < W o r k b o o k S t a t e   x m l n s : i = " h t t p : / / w w w . w 3 . o r g / 2 0 0 1 / X M L S c h e m a - i n s t a n c e "   x m l n s = " h t t p : / / s c h e m a s . m i c r o s o f t . c o m / P o w e r B I A d d I n " > < L a s t P r o v i d e d R a n g e N a m e I d > 0 < / L a s t P r o v i d e d R a n g e N a m e I d > < L a s t U s e d G r o u p O b j e c t I d   i : n i l = " t r u e " / > < T i l e s L i s t > < T i l e s / > < / T i l e s L i s t > < / W o r k b o o k S t a t 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66ED7D-4F38-4821-8350-57543E68AB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0daea1-89f2-4198-b72b-53d8a9749dfb"/>
    <ds:schemaRef ds:uri="37ee97b4-73a0-450c-8517-7d8a14946e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24C714-A8DF-43D1-A187-B835DE41DA2B}">
  <ds:schemaRefs>
    <ds:schemaRef ds:uri="http://schemas.microsoft.com/office/2006/documentManagement/types"/>
    <ds:schemaRef ds:uri="http://www.w3.org/XML/1998/namespace"/>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37ee97b4-73a0-450c-8517-7d8a14946e68"/>
    <ds:schemaRef ds:uri="660daea1-89f2-4198-b72b-53d8a9749dfb"/>
  </ds:schemaRefs>
</ds:datastoreItem>
</file>

<file path=customXml/itemProps3.xml><?xml version="1.0" encoding="utf-8"?>
<ds:datastoreItem xmlns:ds="http://schemas.openxmlformats.org/officeDocument/2006/customXml" ds:itemID="{124953CE-239F-49D9-94C3-05F53FF539C5}">
  <ds:schemaRefs>
    <ds:schemaRef ds:uri="http://schemas.microsoft.com/PowerBIAddIn"/>
  </ds:schemaRefs>
</ds:datastoreItem>
</file>

<file path=customXml/itemProps4.xml><?xml version="1.0" encoding="utf-8"?>
<ds:datastoreItem xmlns:ds="http://schemas.openxmlformats.org/officeDocument/2006/customXml" ds:itemID="{C396AB38-AB95-468F-8C8A-1C750CCDA0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26</vt:i4>
      </vt:variant>
    </vt:vector>
  </HeadingPairs>
  <TitlesOfParts>
    <vt:vector size="32" baseType="lpstr">
      <vt:lpstr>Read me</vt:lpstr>
      <vt:lpstr>Point Form</vt:lpstr>
      <vt:lpstr>Actions ENTSOG_Don't delete</vt:lpstr>
      <vt:lpstr>Info - Point Validity</vt:lpstr>
      <vt:lpstr>Point Validity Simulator</vt:lpstr>
      <vt:lpstr>Metadata</vt:lpstr>
      <vt:lpstr>AdjacentGasSystem</vt:lpstr>
      <vt:lpstr>AdjacentTSO</vt:lpstr>
      <vt:lpstr>CommerciallySince</vt:lpstr>
      <vt:lpstr>CommissioningDate</vt:lpstr>
      <vt:lpstr>EIC</vt:lpstr>
      <vt:lpstr>HomeGasSystem</vt:lpstr>
      <vt:lpstr>IsCommerciallySince</vt:lpstr>
      <vt:lpstr>IsCrossBorder</vt:lpstr>
      <vt:lpstr>IsOperationallySince</vt:lpstr>
      <vt:lpstr>isPipeInPipe</vt:lpstr>
      <vt:lpstr>IsRedundant</vt:lpstr>
      <vt:lpstr>IsRelevant</vt:lpstr>
      <vt:lpstr>IsSingleOperator</vt:lpstr>
      <vt:lpstr>IsVirtual</vt:lpstr>
      <vt:lpstr>MapInfo</vt:lpstr>
      <vt:lpstr>OperationallySince</vt:lpstr>
      <vt:lpstr>PipeInPipeDriver</vt:lpstr>
      <vt:lpstr>PointDirection</vt:lpstr>
      <vt:lpstr>PointName</vt:lpstr>
      <vt:lpstr>PointType</vt:lpstr>
      <vt:lpstr>publicationFirstDate</vt:lpstr>
      <vt:lpstr>RedundantOperator</vt:lpstr>
      <vt:lpstr>RequestDate</vt:lpstr>
      <vt:lpstr>TSO</vt:lpstr>
      <vt:lpstr>valueTypeClass</vt:lpstr>
      <vt:lpstr>VirtualPoint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Mareike Dollinger</cp:lastModifiedBy>
  <dcterms:created xsi:type="dcterms:W3CDTF">2015-03-17T15:02:33Z</dcterms:created>
  <dcterms:modified xsi:type="dcterms:W3CDTF">2023-11-16T10:12:27Z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142800</vt:r8>
  </property>
  <property fmtid="{D5CDD505-2E9C-101B-9397-08002B2CF9AE}" pid="4" name="MediaServiceImageTags">
    <vt:lpwstr/>
  </property>
</Properties>
</file>