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5" rupBuild="18326"/>
  <workbookPr/>
  <mc:AlternateContent xmlns:mc="http://schemas.openxmlformats.org/markup-compatibility/2006">
    <mc:Choice Requires="x15">
      <x15ac:absPath xmlns:x15ac="http://schemas.microsoft.com/office/spreadsheetml/2010/11/ac" url="Y:\ENTSOG\170834_entsog_TAR-NC_paper_iDoc_update\Daten_geliefert\170904\Annexes_complete\"/>
    </mc:Choice>
  </mc:AlternateContent>
  <bookViews>
    <workbookView xWindow="0" yWindow="0" windowWidth="28575" windowHeight="13560" xr2:uid="{00000000-000D-0000-FFFF-FFFF00000000}"/>
  </bookViews>
  <sheets>
    <sheet name="Cover" sheetId="7" r:id="rId1"/>
    <sheet name="Separate same rpm" sheetId="1" r:id="rId2"/>
    <sheet name="Joint same rpm" sheetId="6" r:id="rId3"/>
    <sheet name="Distances and CWDA - 2 zones" sheetId="4" r:id="rId4"/>
    <sheet name="Distances and CWDA - 1 zone" sheetId="5" r:id="rId5"/>
  </sheets>
  <calcPr calcId="171027" calcMode="autoNoTable" concurrentCalc="0"/>
</workbook>
</file>

<file path=xl/calcChain.xml><?xml version="1.0" encoding="utf-8"?>
<calcChain xmlns="http://schemas.openxmlformats.org/spreadsheetml/2006/main">
  <c r="Q23" i="1" l="1"/>
  <c r="F20" i="5"/>
  <c r="F27" i="5"/>
  <c r="F33" i="5"/>
  <c r="F38" i="5"/>
  <c r="F44" i="5"/>
  <c r="F50" i="5"/>
  <c r="F56" i="5"/>
  <c r="V23" i="1"/>
  <c r="F33" i="4"/>
  <c r="F34" i="4"/>
  <c r="F39" i="4"/>
  <c r="F46" i="4"/>
  <c r="F20" i="4"/>
  <c r="F27" i="4"/>
  <c r="F53" i="4"/>
  <c r="F60" i="4"/>
  <c r="V9" i="1"/>
  <c r="F23" i="5"/>
  <c r="F28" i="5"/>
  <c r="F32" i="5"/>
  <c r="F39" i="5"/>
  <c r="F45" i="5"/>
  <c r="F51" i="5"/>
  <c r="F57" i="5"/>
  <c r="V24" i="1"/>
  <c r="F40" i="4"/>
  <c r="F41" i="4"/>
  <c r="F47" i="4"/>
  <c r="F23" i="4"/>
  <c r="F28" i="4"/>
  <c r="F54" i="4"/>
  <c r="F61" i="4"/>
  <c r="V10" i="1"/>
  <c r="Q19" i="1"/>
  <c r="C20" i="5"/>
  <c r="C27" i="5"/>
  <c r="C33" i="5"/>
  <c r="C34" i="5"/>
  <c r="C38" i="5"/>
  <c r="C44" i="5"/>
  <c r="C50" i="5"/>
  <c r="C56" i="5"/>
  <c r="V19" i="1"/>
  <c r="C34" i="4"/>
  <c r="C35" i="4"/>
  <c r="C40" i="4"/>
  <c r="C39" i="4"/>
  <c r="C47" i="4"/>
  <c r="C20" i="4"/>
  <c r="C27" i="4"/>
  <c r="C54" i="4"/>
  <c r="C61" i="4"/>
  <c r="V5" i="1"/>
  <c r="C23" i="5"/>
  <c r="C28" i="5"/>
  <c r="C32" i="5"/>
  <c r="C39" i="5"/>
  <c r="C40" i="5"/>
  <c r="C45" i="5"/>
  <c r="C51" i="5"/>
  <c r="C57" i="5"/>
  <c r="V20" i="1"/>
  <c r="C46" i="5"/>
  <c r="C52" i="5"/>
  <c r="C58" i="5"/>
  <c r="V21" i="1"/>
  <c r="V9" i="6"/>
  <c r="N27" i="6"/>
  <c r="M33" i="5"/>
  <c r="M34" i="5"/>
  <c r="P33" i="5"/>
  <c r="P38" i="5"/>
  <c r="M38" i="5"/>
  <c r="P44" i="5"/>
  <c r="N26" i="6"/>
  <c r="O26" i="6"/>
  <c r="M22" i="5"/>
  <c r="Q19" i="6"/>
  <c r="Q23" i="6"/>
  <c r="Q26" i="6"/>
  <c r="M20" i="5"/>
  <c r="M27" i="5"/>
  <c r="P50" i="5"/>
  <c r="P56" i="5"/>
  <c r="V23" i="6"/>
  <c r="V10" i="6"/>
  <c r="M32" i="5"/>
  <c r="P32" i="5"/>
  <c r="P39" i="5"/>
  <c r="M39" i="5"/>
  <c r="M40" i="5"/>
  <c r="P45" i="5"/>
  <c r="M23" i="5"/>
  <c r="M28" i="5"/>
  <c r="P51" i="5"/>
  <c r="P57" i="5"/>
  <c r="V24" i="6"/>
  <c r="V5" i="6"/>
  <c r="M44" i="5"/>
  <c r="M50" i="5"/>
  <c r="M56" i="5"/>
  <c r="V19" i="6"/>
  <c r="AA5" i="1"/>
  <c r="C46" i="4"/>
  <c r="C53" i="4"/>
  <c r="C60" i="4"/>
  <c r="V4" i="1"/>
  <c r="AA4" i="1"/>
  <c r="P4" i="1"/>
  <c r="U5" i="1"/>
  <c r="Z5" i="1"/>
  <c r="Q4" i="1"/>
  <c r="U6" i="1"/>
  <c r="Z6" i="1"/>
  <c r="U7" i="1"/>
  <c r="Z7" i="1"/>
  <c r="AA5" i="6"/>
  <c r="V4" i="6"/>
  <c r="AA4" i="6"/>
  <c r="U4" i="1"/>
  <c r="Z4" i="1"/>
  <c r="Z9" i="1"/>
  <c r="AF4" i="1"/>
  <c r="AF5" i="1"/>
  <c r="F48" i="4"/>
  <c r="F55" i="4"/>
  <c r="F62" i="4"/>
  <c r="V11" i="1"/>
  <c r="AF6" i="1"/>
  <c r="AF8" i="1"/>
  <c r="P9" i="1"/>
  <c r="U9" i="1"/>
  <c r="AE4" i="1"/>
  <c r="Q9" i="1"/>
  <c r="U10" i="1"/>
  <c r="AE5" i="1"/>
  <c r="U11" i="1"/>
  <c r="AE6" i="1"/>
  <c r="AE8" i="1"/>
  <c r="AF4" i="6"/>
  <c r="AF5" i="6"/>
  <c r="V11" i="6"/>
  <c r="AF6" i="6"/>
  <c r="AF8" i="6"/>
  <c r="P9" i="6"/>
  <c r="U9" i="6"/>
  <c r="AE4" i="6"/>
  <c r="Q9" i="6"/>
  <c r="U10" i="6"/>
  <c r="AE5" i="6"/>
  <c r="U11" i="6"/>
  <c r="AE6" i="6"/>
  <c r="AE8" i="6"/>
  <c r="P4" i="6"/>
  <c r="U4" i="6"/>
  <c r="Z4" i="6"/>
  <c r="U5" i="6"/>
  <c r="Z5" i="6"/>
  <c r="Q4" i="6"/>
  <c r="U6" i="6"/>
  <c r="Z6" i="6"/>
  <c r="U7" i="6"/>
  <c r="Z7" i="6"/>
  <c r="Z9" i="6"/>
  <c r="C32" i="4"/>
  <c r="U19" i="6"/>
  <c r="U29" i="6"/>
  <c r="P26" i="6"/>
  <c r="U20" i="6"/>
  <c r="U30" i="6"/>
  <c r="U21" i="6"/>
  <c r="U31" i="6"/>
  <c r="U33" i="6"/>
  <c r="O29" i="6"/>
  <c r="M45" i="5"/>
  <c r="M46" i="5"/>
  <c r="M27" i="6"/>
  <c r="M26" i="6"/>
  <c r="O19" i="6"/>
  <c r="P19" i="6"/>
  <c r="O23" i="6"/>
  <c r="P23" i="6"/>
  <c r="D22" i="6"/>
  <c r="F22" i="6"/>
  <c r="C22" i="6"/>
  <c r="E22" i="6"/>
  <c r="D21" i="6"/>
  <c r="F21" i="6"/>
  <c r="C21" i="6"/>
  <c r="E21" i="6"/>
  <c r="F32" i="4"/>
  <c r="C33" i="4"/>
  <c r="O19" i="1"/>
  <c r="P19" i="1"/>
  <c r="O23" i="1"/>
  <c r="U23" i="1"/>
  <c r="P23" i="1"/>
  <c r="U24" i="1"/>
  <c r="C23" i="4"/>
  <c r="C28" i="4"/>
  <c r="D21" i="1"/>
  <c r="D22" i="1"/>
  <c r="F22" i="1"/>
  <c r="C22" i="1"/>
  <c r="E22" i="1"/>
  <c r="AA30" i="1"/>
  <c r="AA29" i="1"/>
  <c r="Z30" i="1"/>
  <c r="Z29" i="1"/>
  <c r="Z32" i="1"/>
  <c r="AA32" i="1"/>
  <c r="C21" i="1"/>
  <c r="F21" i="1"/>
  <c r="E21" i="1"/>
  <c r="M51" i="5"/>
  <c r="M57" i="5"/>
  <c r="V20" i="6"/>
  <c r="V30" i="6"/>
  <c r="M52" i="5"/>
  <c r="M58" i="5"/>
  <c r="V21" i="6"/>
  <c r="V31" i="6"/>
  <c r="V29" i="6"/>
  <c r="V33" i="6"/>
  <c r="P29" i="6"/>
  <c r="V35" i="6"/>
  <c r="AA30" i="6"/>
  <c r="AA29" i="6"/>
  <c r="AA32" i="6"/>
  <c r="V37" i="6"/>
  <c r="U35" i="6"/>
  <c r="U37" i="6"/>
  <c r="AA34" i="6"/>
  <c r="AA36" i="6"/>
  <c r="U24" i="6"/>
  <c r="Z30" i="6"/>
  <c r="Z34" i="6"/>
  <c r="U23" i="6"/>
  <c r="Z29" i="6"/>
  <c r="Z32" i="6"/>
  <c r="Z36" i="6"/>
  <c r="V35" i="1"/>
  <c r="U35" i="1"/>
  <c r="Z34" i="1"/>
  <c r="Z36" i="1"/>
  <c r="AA34" i="1"/>
  <c r="AA36" i="1"/>
  <c r="U20" i="1"/>
  <c r="U21" i="1"/>
  <c r="U19" i="1"/>
  <c r="U31" i="1"/>
  <c r="U30" i="1"/>
  <c r="U29" i="1"/>
  <c r="U33" i="1"/>
  <c r="U37" i="1"/>
  <c r="V30" i="1"/>
  <c r="V31" i="1"/>
  <c r="V29" i="1"/>
  <c r="V33" i="1"/>
  <c r="V37" i="1"/>
  <c r="C42" i="4"/>
  <c r="C41" i="4"/>
  <c r="C49" i="4"/>
  <c r="C56" i="4"/>
  <c r="C63" i="4"/>
  <c r="V7" i="6"/>
  <c r="C48" i="4"/>
  <c r="C55" i="4"/>
  <c r="C62" i="4"/>
  <c r="V6" i="6"/>
  <c r="AA6" i="6"/>
  <c r="AA7" i="6"/>
  <c r="AA9" i="6"/>
  <c r="V6" i="1"/>
  <c r="AA6" i="1"/>
  <c r="V7" i="1"/>
  <c r="AA7" i="1"/>
  <c r="AA9" i="1"/>
</calcChain>
</file>

<file path=xl/sharedStrings.xml><?xml version="1.0" encoding="utf-8"?>
<sst xmlns="http://schemas.openxmlformats.org/spreadsheetml/2006/main" count="379" uniqueCount="59">
  <si>
    <t>Situation before merging: each TSO has its own market area</t>
  </si>
  <si>
    <t>Entry A2</t>
  </si>
  <si>
    <t>Exit Dom A3</t>
  </si>
  <si>
    <t>Entry A1</t>
  </si>
  <si>
    <t>Exit A4</t>
  </si>
  <si>
    <t>Entry B1</t>
  </si>
  <si>
    <t>Exit B3</t>
  </si>
  <si>
    <t>TSO A</t>
  </si>
  <si>
    <t>TSO B</t>
  </si>
  <si>
    <t>Exit Dom B2</t>
  </si>
  <si>
    <t>Entry/Exit Split : Entry</t>
  </si>
  <si>
    <t>Entry/Exit Split : Exit</t>
  </si>
  <si>
    <t>Input data</t>
  </si>
  <si>
    <t>Postage Stamp</t>
  </si>
  <si>
    <t>Forecast - GWh/h</t>
  </si>
  <si>
    <t>Technical cap. - GWh/h</t>
  </si>
  <si>
    <t>Distances - km</t>
  </si>
  <si>
    <t>Total length</t>
  </si>
  <si>
    <t>Entry</t>
  </si>
  <si>
    <t>Exit</t>
  </si>
  <si>
    <t>Revenues</t>
  </si>
  <si>
    <t>Calculation of capacity-weighted average distance</t>
  </si>
  <si>
    <t>Calculation of the weight of each point</t>
  </si>
  <si>
    <t>Allocation of costs</t>
  </si>
  <si>
    <t>Revenue A1</t>
  </si>
  <si>
    <t>revenue B3</t>
  </si>
  <si>
    <t>Post Stamp</t>
  </si>
  <si>
    <t xml:space="preserve">Due to NRA decision / calculation </t>
  </si>
  <si>
    <t>inter-TSO compensation (A -&gt; B)</t>
  </si>
  <si>
    <t>Sum</t>
  </si>
  <si>
    <t>ITC</t>
  </si>
  <si>
    <t>Allowed Revenue  - m€</t>
  </si>
  <si>
    <t>Obtained revenues</t>
  </si>
  <si>
    <t>Revenues after ITC</t>
  </si>
  <si>
    <t>Determination of tariffs - €/kWh/h</t>
  </si>
  <si>
    <t>Allowed Revenues</t>
  </si>
  <si>
    <t>E/E-Split</t>
  </si>
  <si>
    <t>Entry-Exit Split is an input parameter for the cost allocation methodologies, based on a major cost driver (forecasted cap)</t>
  </si>
  <si>
    <t>Fcap - Proportions</t>
  </si>
  <si>
    <t>Distance Matrices</t>
  </si>
  <si>
    <t>Capacity-Weighted Distance Approach</t>
  </si>
  <si>
    <t>Capacity-Weighted Distance Approach (joint application)</t>
  </si>
  <si>
    <t>TSO A + TSO B</t>
  </si>
  <si>
    <t>joint application</t>
  </si>
  <si>
    <t>Situation after merging: two TSOs in the market area (separate application)</t>
  </si>
  <si>
    <t>Situation after merging: two TSOs in the market area (joint application)</t>
  </si>
  <si>
    <t>Capacity-Weighted Distance Approach (separate application)</t>
  </si>
  <si>
    <t>Revenue before ITC payment</t>
  </si>
  <si>
    <t>Revenue post-ITC payment</t>
  </si>
  <si>
    <t>In example, ITC value is chosen by an NRA decision (ex ante)</t>
  </si>
  <si>
    <t xml:space="preserve">Sum </t>
  </si>
  <si>
    <t>CWD</t>
  </si>
  <si>
    <t xml:space="preserve">CWD calculated after the forecasted capacity (and not technical capacity), in line with TAR NC </t>
  </si>
  <si>
    <t>Tarifs - €/(kWh/h)/a</t>
  </si>
  <si>
    <t>Tariffs - €/(kWh/h)/a</t>
  </si>
  <si>
    <t xml:space="preserve">ITC value is necessarily defined by RPM calculation (ex post) </t>
  </si>
  <si>
    <t>Revenue to recover - m€</t>
  </si>
  <si>
    <t>Revenue to recover - %</t>
  </si>
  <si>
    <t>Revenue shortfall of points A1 and B3 has to be recovered at other points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</si>
</sst>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\ &quot;m€&quot;"/>
    <numFmt numFmtId="165" formatCode="#,##0\ &quot;km&quot;"/>
    <numFmt numFmtId="166" formatCode="#,##0.00\ &quot;m€&quot;"/>
    <numFmt numFmtId="167" formatCode="#,##0.0\ &quot;m€&quot;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i/>
      <sz val="11"/>
      <color rgb="FF00B0F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rgb="FF3891A7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2">
    <xf numFmtId="0" fontId="0" fillId="0" borderId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1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1" fillId="11" borderId="0" applyNumberFormat="0" applyBorder="0" applyAlignment="0" applyProtection="0"/>
  </cellStyleXfs>
  <cellXfs count="158">
    <xf numFmtId="0" fontId="0" fillId="0" borderId="0" xfId="0"/>
    <xf numFmtId="0" fontId="3" fillId="0" borderId="0" xfId="0" applyFont="1" applyFill="1" applyAlignment="1">
      <alignment horizontal="center" vertical="center"/>
    </xf>
    <xf numFmtId="165" fontId="3" fillId="0" borderId="3" xfId="0" applyNumberFormat="1" applyFont="1" applyFill="1" applyBorder="1" applyAlignment="1">
      <alignment horizontal="center" vertical="center"/>
    </xf>
    <xf numFmtId="0" fontId="3" fillId="0" borderId="0" xfId="2" applyFont="1" applyFill="1" applyBorder="1" applyAlignment="1">
      <alignment horizontal="center" vertical="center"/>
    </xf>
    <xf numFmtId="164" fontId="3" fillId="0" borderId="13" xfId="0" applyNumberFormat="1" applyFont="1" applyFill="1" applyBorder="1" applyAlignment="1">
      <alignment horizontal="center" vertical="center"/>
    </xf>
    <xf numFmtId="0" fontId="3" fillId="0" borderId="0" xfId="8" applyFont="1" applyFill="1" applyBorder="1" applyAlignment="1">
      <alignment horizontal="center" vertical="center"/>
    </xf>
    <xf numFmtId="164" fontId="3" fillId="0" borderId="0" xfId="0" applyNumberFormat="1" applyFont="1" applyFill="1" applyBorder="1" applyAlignment="1">
      <alignment horizontal="center" vertical="center"/>
    </xf>
    <xf numFmtId="9" fontId="3" fillId="0" borderId="13" xfId="1" applyFont="1" applyFill="1" applyBorder="1" applyAlignment="1">
      <alignment horizontal="center" vertical="center"/>
    </xf>
    <xf numFmtId="9" fontId="3" fillId="0" borderId="3" xfId="1" applyFont="1" applyFill="1" applyBorder="1" applyAlignment="1">
      <alignment horizontal="center" vertical="center"/>
    </xf>
    <xf numFmtId="166" fontId="3" fillId="0" borderId="3" xfId="0" applyNumberFormat="1" applyFont="1" applyFill="1" applyBorder="1" applyAlignment="1">
      <alignment horizontal="center" vertical="center"/>
    </xf>
    <xf numFmtId="9" fontId="3" fillId="0" borderId="3" xfId="0" applyNumberFormat="1" applyFont="1" applyFill="1" applyBorder="1" applyAlignment="1">
      <alignment horizontal="center" vertical="center"/>
    </xf>
    <xf numFmtId="9" fontId="3" fillId="0" borderId="14" xfId="0" applyNumberFormat="1" applyFont="1" applyFill="1" applyBorder="1" applyAlignment="1">
      <alignment horizontal="center" vertical="center"/>
    </xf>
    <xf numFmtId="9" fontId="3" fillId="0" borderId="15" xfId="0" applyNumberFormat="1" applyFont="1" applyFill="1" applyBorder="1" applyAlignment="1">
      <alignment horizontal="center" vertical="center"/>
    </xf>
    <xf numFmtId="3" fontId="3" fillId="0" borderId="3" xfId="0" applyNumberFormat="1" applyFont="1" applyFill="1" applyBorder="1" applyAlignment="1">
      <alignment horizontal="center" vertical="center"/>
    </xf>
    <xf numFmtId="9" fontId="3" fillId="0" borderId="3" xfId="1" applyNumberFormat="1" applyFont="1" applyFill="1" applyBorder="1" applyAlignment="1">
      <alignment horizontal="center" vertical="center"/>
    </xf>
    <xf numFmtId="2" fontId="3" fillId="0" borderId="3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5" fillId="0" borderId="0" xfId="0" applyFont="1" applyFill="1" applyAlignment="1">
      <alignment horizontal="left" vertical="center"/>
    </xf>
    <xf numFmtId="166" fontId="3" fillId="0" borderId="13" xfId="0" applyNumberFormat="1" applyFont="1" applyFill="1" applyBorder="1" applyAlignment="1">
      <alignment horizontal="center" vertical="center"/>
    </xf>
    <xf numFmtId="3" fontId="3" fillId="0" borderId="14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3" fillId="0" borderId="15" xfId="10" applyFont="1" applyFill="1" applyBorder="1" applyAlignment="1">
      <alignment horizontal="center" vertical="center"/>
    </xf>
    <xf numFmtId="0" fontId="3" fillId="0" borderId="3" xfId="10" applyFont="1" applyFill="1" applyBorder="1" applyAlignment="1">
      <alignment horizontal="center" vertical="center"/>
    </xf>
    <xf numFmtId="0" fontId="3" fillId="0" borderId="1" xfId="10" applyFont="1" applyFill="1" applyBorder="1" applyAlignment="1">
      <alignment horizontal="center" vertical="center"/>
    </xf>
    <xf numFmtId="164" fontId="3" fillId="0" borderId="15" xfId="0" applyNumberFormat="1" applyFont="1" applyFill="1" applyBorder="1" applyAlignment="1">
      <alignment horizontal="center" vertical="center"/>
    </xf>
    <xf numFmtId="9" fontId="3" fillId="0" borderId="15" xfId="1" applyFont="1" applyFill="1" applyBorder="1" applyAlignment="1">
      <alignment horizontal="center" vertical="center"/>
    </xf>
    <xf numFmtId="9" fontId="3" fillId="0" borderId="0" xfId="0" applyNumberFormat="1" applyFont="1" applyFill="1" applyAlignment="1">
      <alignment horizontal="center" vertical="center"/>
    </xf>
    <xf numFmtId="166" fontId="3" fillId="0" borderId="0" xfId="0" applyNumberFormat="1" applyFont="1" applyFill="1" applyAlignment="1">
      <alignment horizontal="left" vertical="center"/>
    </xf>
    <xf numFmtId="2" fontId="3" fillId="0" borderId="0" xfId="0" applyNumberFormat="1" applyFont="1" applyFill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1" fontId="3" fillId="0" borderId="0" xfId="0" applyNumberFormat="1" applyFont="1" applyFill="1" applyAlignment="1">
      <alignment horizontal="center" vertical="center"/>
    </xf>
    <xf numFmtId="10" fontId="3" fillId="0" borderId="0" xfId="0" applyNumberFormat="1" applyFont="1" applyFill="1" applyBorder="1" applyAlignment="1">
      <alignment horizontal="center" vertical="center"/>
    </xf>
    <xf numFmtId="10" fontId="3" fillId="0" borderId="0" xfId="1" applyNumberFormat="1" applyFont="1" applyFill="1" applyBorder="1" applyAlignment="1">
      <alignment horizontal="center" vertical="center"/>
    </xf>
    <xf numFmtId="167" fontId="3" fillId="0" borderId="13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center" vertical="center"/>
    </xf>
    <xf numFmtId="166" fontId="3" fillId="0" borderId="15" xfId="0" applyNumberFormat="1" applyFont="1" applyFill="1" applyBorder="1" applyAlignment="1">
      <alignment horizontal="center" vertical="center"/>
    </xf>
    <xf numFmtId="3" fontId="3" fillId="0" borderId="15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left" vertical="center"/>
    </xf>
    <xf numFmtId="9" fontId="3" fillId="0" borderId="0" xfId="0" applyNumberFormat="1" applyFont="1" applyFill="1" applyBorder="1" applyAlignment="1">
      <alignment horizontal="center" vertical="center"/>
    </xf>
    <xf numFmtId="0" fontId="2" fillId="2" borderId="15" xfId="2" applyBorder="1" applyAlignment="1">
      <alignment horizontal="center" vertical="center"/>
    </xf>
    <xf numFmtId="0" fontId="2" fillId="2" borderId="15" xfId="2" applyBorder="1" applyAlignment="1">
      <alignment horizontal="center" vertical="center" wrapText="1"/>
    </xf>
    <xf numFmtId="0" fontId="2" fillId="13" borderId="1" xfId="2" applyFill="1" applyBorder="1" applyAlignment="1">
      <alignment horizontal="left" vertical="center"/>
    </xf>
    <xf numFmtId="164" fontId="0" fillId="0" borderId="4" xfId="0" applyNumberFormat="1" applyBorder="1" applyAlignment="1">
      <alignment horizontal="center" vertical="center"/>
    </xf>
    <xf numFmtId="0" fontId="2" fillId="4" borderId="15" xfId="4" applyBorder="1" applyAlignment="1">
      <alignment horizontal="center" vertical="center"/>
    </xf>
    <xf numFmtId="0" fontId="2" fillId="4" borderId="15" xfId="4" applyBorder="1" applyAlignment="1">
      <alignment horizontal="center" vertical="center" wrapText="1"/>
    </xf>
    <xf numFmtId="0" fontId="2" fillId="3" borderId="15" xfId="3" applyBorder="1" applyAlignment="1">
      <alignment horizontal="center" vertical="center"/>
    </xf>
    <xf numFmtId="0" fontId="2" fillId="8" borderId="15" xfId="8" applyBorder="1" applyAlignment="1">
      <alignment horizontal="center" vertical="center"/>
    </xf>
    <xf numFmtId="0" fontId="2" fillId="9" borderId="15" xfId="9" applyBorder="1" applyAlignment="1">
      <alignment horizontal="center" vertical="center"/>
    </xf>
    <xf numFmtId="0" fontId="2" fillId="2" borderId="15" xfId="2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9" fontId="3" fillId="0" borderId="0" xfId="1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14" borderId="0" xfId="2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4" fillId="15" borderId="0" xfId="0" applyFont="1" applyFill="1" applyAlignment="1">
      <alignment horizontal="left" vertical="center"/>
    </xf>
    <xf numFmtId="0" fontId="3" fillId="15" borderId="0" xfId="0" applyFont="1" applyFill="1" applyAlignment="1">
      <alignment horizontal="center" vertical="center"/>
    </xf>
    <xf numFmtId="0" fontId="3" fillId="15" borderId="15" xfId="2" applyFont="1" applyFill="1" applyBorder="1" applyAlignment="1">
      <alignment horizontal="center" vertical="center" wrapText="1"/>
    </xf>
    <xf numFmtId="166" fontId="0" fillId="16" borderId="4" xfId="0" applyNumberFormat="1" applyFill="1" applyBorder="1" applyAlignment="1">
      <alignment horizontal="center" vertical="center"/>
    </xf>
    <xf numFmtId="166" fontId="3" fillId="0" borderId="4" xfId="0" applyNumberFormat="1" applyFont="1" applyFill="1" applyBorder="1" applyAlignment="1">
      <alignment horizontal="center" vertical="center"/>
    </xf>
    <xf numFmtId="0" fontId="3" fillId="17" borderId="0" xfId="0" applyFont="1" applyFill="1" applyAlignment="1">
      <alignment horizontal="center" vertical="center"/>
    </xf>
    <xf numFmtId="0" fontId="5" fillId="17" borderId="0" xfId="0" applyFont="1" applyFill="1" applyAlignment="1">
      <alignment horizontal="left" vertical="center"/>
    </xf>
    <xf numFmtId="0" fontId="3" fillId="17" borderId="0" xfId="2" applyFont="1" applyFill="1" applyBorder="1" applyAlignment="1">
      <alignment horizontal="center" vertical="center"/>
    </xf>
    <xf numFmtId="166" fontId="3" fillId="17" borderId="13" xfId="0" applyNumberFormat="1" applyFont="1" applyFill="1" applyBorder="1" applyAlignment="1">
      <alignment horizontal="center" vertical="center"/>
    </xf>
    <xf numFmtId="0" fontId="3" fillId="17" borderId="0" xfId="8" applyFont="1" applyFill="1" applyBorder="1" applyAlignment="1">
      <alignment horizontal="center" vertical="center"/>
    </xf>
    <xf numFmtId="164" fontId="3" fillId="17" borderId="0" xfId="0" applyNumberFormat="1" applyFont="1" applyFill="1" applyBorder="1" applyAlignment="1">
      <alignment horizontal="center" vertical="center"/>
    </xf>
    <xf numFmtId="0" fontId="2" fillId="17" borderId="15" xfId="2" applyFill="1" applyBorder="1" applyAlignment="1">
      <alignment horizontal="center" vertical="center"/>
    </xf>
    <xf numFmtId="9" fontId="3" fillId="17" borderId="13" xfId="1" applyFont="1" applyFill="1" applyBorder="1" applyAlignment="1">
      <alignment horizontal="center" vertical="center"/>
    </xf>
    <xf numFmtId="0" fontId="2" fillId="17" borderId="15" xfId="8" applyFill="1" applyBorder="1" applyAlignment="1">
      <alignment horizontal="center" vertical="center"/>
    </xf>
    <xf numFmtId="9" fontId="3" fillId="17" borderId="3" xfId="1" applyFont="1" applyFill="1" applyBorder="1" applyAlignment="1">
      <alignment horizontal="center" vertical="center"/>
    </xf>
    <xf numFmtId="0" fontId="2" fillId="17" borderId="15" xfId="3" applyFill="1" applyBorder="1" applyAlignment="1">
      <alignment horizontal="center" vertical="center"/>
    </xf>
    <xf numFmtId="0" fontId="2" fillId="17" borderId="15" xfId="9" applyFill="1" applyBorder="1" applyAlignment="1">
      <alignment horizontal="center" vertical="center"/>
    </xf>
    <xf numFmtId="166" fontId="3" fillId="17" borderId="3" xfId="0" applyNumberFormat="1" applyFont="1" applyFill="1" applyBorder="1" applyAlignment="1">
      <alignment horizontal="center" vertical="center"/>
    </xf>
    <xf numFmtId="9" fontId="3" fillId="17" borderId="3" xfId="0" applyNumberFormat="1" applyFont="1" applyFill="1" applyBorder="1" applyAlignment="1">
      <alignment horizontal="center" vertical="center"/>
    </xf>
    <xf numFmtId="9" fontId="3" fillId="17" borderId="14" xfId="0" applyNumberFormat="1" applyFont="1" applyFill="1" applyBorder="1" applyAlignment="1">
      <alignment horizontal="center" vertical="center"/>
    </xf>
    <xf numFmtId="3" fontId="3" fillId="17" borderId="3" xfId="0" applyNumberFormat="1" applyFont="1" applyFill="1" applyBorder="1" applyAlignment="1">
      <alignment horizontal="center" vertical="center"/>
    </xf>
    <xf numFmtId="3" fontId="3" fillId="17" borderId="14" xfId="0" applyNumberFormat="1" applyFont="1" applyFill="1" applyBorder="1" applyAlignment="1">
      <alignment horizontal="center" vertical="center"/>
    </xf>
    <xf numFmtId="9" fontId="3" fillId="17" borderId="3" xfId="1" applyNumberFormat="1" applyFont="1" applyFill="1" applyBorder="1" applyAlignment="1">
      <alignment horizontal="center" vertical="center"/>
    </xf>
    <xf numFmtId="2" fontId="3" fillId="17" borderId="3" xfId="0" applyNumberFormat="1" applyFont="1" applyFill="1" applyBorder="1" applyAlignment="1">
      <alignment horizontal="center" vertical="center"/>
    </xf>
    <xf numFmtId="0" fontId="4" fillId="18" borderId="0" xfId="0" applyFont="1" applyFill="1" applyAlignment="1">
      <alignment horizontal="left" vertical="center"/>
    </xf>
    <xf numFmtId="0" fontId="3" fillId="18" borderId="0" xfId="0" applyFont="1" applyFill="1" applyAlignment="1">
      <alignment horizontal="center" vertical="center"/>
    </xf>
    <xf numFmtId="0" fontId="5" fillId="18" borderId="0" xfId="0" applyFont="1" applyFill="1" applyAlignment="1">
      <alignment horizontal="left" vertical="center"/>
    </xf>
    <xf numFmtId="0" fontId="3" fillId="18" borderId="0" xfId="2" applyFont="1" applyFill="1" applyBorder="1" applyAlignment="1">
      <alignment horizontal="center" vertical="center"/>
    </xf>
    <xf numFmtId="166" fontId="3" fillId="18" borderId="13" xfId="0" applyNumberFormat="1" applyFont="1" applyFill="1" applyBorder="1" applyAlignment="1">
      <alignment horizontal="center" vertical="center"/>
    </xf>
    <xf numFmtId="164" fontId="3" fillId="18" borderId="0" xfId="0" applyNumberFormat="1" applyFont="1" applyFill="1" applyBorder="1" applyAlignment="1">
      <alignment horizontal="center" vertical="center"/>
    </xf>
    <xf numFmtId="0" fontId="2" fillId="18" borderId="15" xfId="2" applyFill="1" applyBorder="1" applyAlignment="1">
      <alignment horizontal="center" vertical="center"/>
    </xf>
    <xf numFmtId="9" fontId="3" fillId="18" borderId="13" xfId="1" applyFont="1" applyFill="1" applyBorder="1" applyAlignment="1">
      <alignment horizontal="center" vertical="center"/>
    </xf>
    <xf numFmtId="0" fontId="2" fillId="18" borderId="15" xfId="3" applyFill="1" applyBorder="1" applyAlignment="1">
      <alignment horizontal="center" vertical="center"/>
    </xf>
    <xf numFmtId="9" fontId="3" fillId="18" borderId="3" xfId="0" applyNumberFormat="1" applyFont="1" applyFill="1" applyBorder="1" applyAlignment="1">
      <alignment horizontal="center" vertical="center"/>
    </xf>
    <xf numFmtId="0" fontId="2" fillId="18" borderId="15" xfId="8" applyFill="1" applyBorder="1" applyAlignment="1">
      <alignment horizontal="center" vertical="center"/>
    </xf>
    <xf numFmtId="0" fontId="2" fillId="18" borderId="15" xfId="9" applyFill="1" applyBorder="1" applyAlignment="1">
      <alignment horizontal="center" vertical="center"/>
    </xf>
    <xf numFmtId="9" fontId="3" fillId="18" borderId="14" xfId="0" applyNumberFormat="1" applyFont="1" applyFill="1" applyBorder="1" applyAlignment="1">
      <alignment horizontal="center" vertical="center"/>
    </xf>
    <xf numFmtId="3" fontId="3" fillId="18" borderId="3" xfId="0" applyNumberFormat="1" applyFont="1" applyFill="1" applyBorder="1" applyAlignment="1">
      <alignment horizontal="center" vertical="center"/>
    </xf>
    <xf numFmtId="3" fontId="3" fillId="18" borderId="14" xfId="0" applyNumberFormat="1" applyFont="1" applyFill="1" applyBorder="1" applyAlignment="1">
      <alignment horizontal="center" vertical="center"/>
    </xf>
    <xf numFmtId="9" fontId="3" fillId="18" borderId="3" xfId="1" applyNumberFormat="1" applyFont="1" applyFill="1" applyBorder="1" applyAlignment="1">
      <alignment horizontal="center" vertical="center"/>
    </xf>
    <xf numFmtId="2" fontId="3" fillId="18" borderId="3" xfId="0" applyNumberFormat="1" applyFont="1" applyFill="1" applyBorder="1" applyAlignment="1">
      <alignment horizontal="center" vertical="center"/>
    </xf>
    <xf numFmtId="0" fontId="8" fillId="15" borderId="0" xfId="0" applyFont="1" applyFill="1" applyAlignment="1">
      <alignment horizontal="left" vertical="center"/>
    </xf>
    <xf numFmtId="0" fontId="3" fillId="15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2" fontId="3" fillId="0" borderId="15" xfId="0" applyNumberFormat="1" applyFont="1" applyFill="1" applyBorder="1" applyAlignment="1">
      <alignment horizontal="center" vertical="center"/>
    </xf>
    <xf numFmtId="0" fontId="2" fillId="4" borderId="5" xfId="4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center" vertical="center"/>
    </xf>
    <xf numFmtId="0" fontId="2" fillId="0" borderId="0" xfId="4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2" fillId="0" borderId="0" xfId="7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11" applyFont="1" applyFill="1" applyBorder="1" applyAlignment="1">
      <alignment horizontal="center" vertical="center"/>
    </xf>
    <xf numFmtId="0" fontId="3" fillId="0" borderId="0" xfId="10" applyFont="1" applyFill="1" applyBorder="1" applyAlignment="1">
      <alignment horizontal="center" vertical="center"/>
    </xf>
    <xf numFmtId="0" fontId="2" fillId="0" borderId="0" xfId="6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3" fillId="0" borderId="15" xfId="11" applyFont="1" applyFill="1" applyBorder="1" applyAlignment="1">
      <alignment horizontal="center" vertical="center"/>
    </xf>
    <xf numFmtId="0" fontId="2" fillId="8" borderId="10" xfId="8" applyBorder="1" applyAlignment="1">
      <alignment horizontal="center" vertical="center"/>
    </xf>
    <xf numFmtId="0" fontId="2" fillId="8" borderId="11" xfId="8" applyBorder="1" applyAlignment="1">
      <alignment horizontal="center" vertical="center"/>
    </xf>
    <xf numFmtId="0" fontId="2" fillId="8" borderId="12" xfId="8" applyBorder="1" applyAlignment="1">
      <alignment horizontal="center" vertical="center"/>
    </xf>
    <xf numFmtId="0" fontId="2" fillId="7" borderId="8" xfId="7" applyBorder="1" applyAlignment="1">
      <alignment horizontal="center" vertical="center"/>
    </xf>
    <xf numFmtId="0" fontId="2" fillId="7" borderId="9" xfId="7" applyBorder="1" applyAlignment="1">
      <alignment horizontal="center" vertical="center"/>
    </xf>
    <xf numFmtId="0" fontId="2" fillId="2" borderId="15" xfId="2" applyBorder="1" applyAlignment="1">
      <alignment horizontal="center" vertical="center"/>
    </xf>
    <xf numFmtId="164" fontId="3" fillId="0" borderId="3" xfId="0" applyNumberFormat="1" applyFont="1" applyFill="1" applyBorder="1" applyAlignment="1">
      <alignment horizontal="center" vertical="center"/>
    </xf>
    <xf numFmtId="9" fontId="3" fillId="0" borderId="3" xfId="1" applyFont="1" applyFill="1" applyBorder="1" applyAlignment="1">
      <alignment horizontal="center" vertical="center"/>
    </xf>
    <xf numFmtId="0" fontId="2" fillId="12" borderId="15" xfId="2" applyFill="1" applyBorder="1" applyAlignment="1">
      <alignment horizontal="center" vertical="center"/>
    </xf>
    <xf numFmtId="0" fontId="2" fillId="4" borderId="15" xfId="4" applyBorder="1" applyAlignment="1">
      <alignment horizontal="center" vertical="center"/>
    </xf>
    <xf numFmtId="0" fontId="0" fillId="0" borderId="0" xfId="5" applyFont="1" applyFill="1" applyBorder="1" applyAlignment="1">
      <alignment horizontal="center" vertical="center" wrapText="1"/>
    </xf>
    <xf numFmtId="0" fontId="1" fillId="0" borderId="0" xfId="5" applyFill="1" applyBorder="1" applyAlignment="1">
      <alignment horizontal="center" vertical="center" wrapText="1"/>
    </xf>
    <xf numFmtId="9" fontId="3" fillId="0" borderId="5" xfId="1" applyNumberFormat="1" applyFont="1" applyFill="1" applyBorder="1" applyAlignment="1">
      <alignment horizontal="center" vertical="center"/>
    </xf>
    <xf numFmtId="9" fontId="3" fillId="0" borderId="6" xfId="1" applyNumberFormat="1" applyFont="1" applyFill="1" applyBorder="1" applyAlignment="1">
      <alignment horizontal="center" vertical="center"/>
    </xf>
    <xf numFmtId="9" fontId="3" fillId="0" borderId="7" xfId="1" applyNumberFormat="1" applyFont="1" applyFill="1" applyBorder="1" applyAlignment="1">
      <alignment horizontal="center" vertical="center"/>
    </xf>
    <xf numFmtId="166" fontId="3" fillId="15" borderId="5" xfId="1" applyNumberFormat="1" applyFont="1" applyFill="1" applyBorder="1" applyAlignment="1">
      <alignment horizontal="center" vertical="center"/>
    </xf>
    <xf numFmtId="166" fontId="3" fillId="15" borderId="6" xfId="1" applyNumberFormat="1" applyFont="1" applyFill="1" applyBorder="1" applyAlignment="1">
      <alignment horizontal="center" vertical="center"/>
    </xf>
    <xf numFmtId="166" fontId="3" fillId="15" borderId="7" xfId="1" applyNumberFormat="1" applyFont="1" applyFill="1" applyBorder="1" applyAlignment="1">
      <alignment horizontal="center" vertical="center"/>
    </xf>
    <xf numFmtId="0" fontId="2" fillId="0" borderId="0" xfId="6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2" fillId="4" borderId="5" xfId="4" applyBorder="1" applyAlignment="1">
      <alignment horizontal="center" vertical="center"/>
    </xf>
    <xf numFmtId="0" fontId="2" fillId="4" borderId="6" xfId="4" applyBorder="1" applyAlignment="1">
      <alignment horizontal="center" vertical="center"/>
    </xf>
    <xf numFmtId="0" fontId="2" fillId="7" borderId="17" xfId="7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7" borderId="16" xfId="7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3" fillId="0" borderId="0" xfId="1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2" borderId="1" xfId="2" applyBorder="1" applyAlignment="1">
      <alignment horizontal="center" vertical="center"/>
    </xf>
    <xf numFmtId="0" fontId="2" fillId="2" borderId="4" xfId="2" applyBorder="1" applyAlignment="1">
      <alignment horizontal="center" vertical="center"/>
    </xf>
    <xf numFmtId="0" fontId="2" fillId="8" borderId="1" xfId="8" applyBorder="1" applyAlignment="1">
      <alignment horizontal="center" vertical="center"/>
    </xf>
    <xf numFmtId="0" fontId="2" fillId="8" borderId="4" xfId="8" applyBorder="1" applyAlignment="1">
      <alignment horizontal="center" vertical="center"/>
    </xf>
    <xf numFmtId="0" fontId="2" fillId="18" borderId="1" xfId="2" applyFill="1" applyBorder="1" applyAlignment="1">
      <alignment horizontal="center" vertical="center"/>
    </xf>
    <xf numFmtId="0" fontId="2" fillId="18" borderId="4" xfId="2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2" fillId="17" borderId="1" xfId="2" applyFill="1" applyBorder="1" applyAlignment="1">
      <alignment horizontal="center" vertical="center"/>
    </xf>
    <xf numFmtId="0" fontId="2" fillId="17" borderId="4" xfId="2" applyFill="1" applyBorder="1" applyAlignment="1">
      <alignment horizontal="center" vertical="center"/>
    </xf>
    <xf numFmtId="0" fontId="2" fillId="17" borderId="1" xfId="8" applyFill="1" applyBorder="1" applyAlignment="1">
      <alignment horizontal="center" vertical="center"/>
    </xf>
    <xf numFmtId="0" fontId="2" fillId="17" borderId="4" xfId="8" applyFill="1" applyBorder="1" applyAlignment="1">
      <alignment horizontal="center" vertical="center"/>
    </xf>
  </cellXfs>
  <cellStyles count="12">
    <cellStyle name="40 % - Akzent3" xfId="5" builtinId="39"/>
    <cellStyle name="40 % - Akzent4" xfId="11" builtinId="43"/>
    <cellStyle name="60 % - Akzent1" xfId="3" builtinId="32"/>
    <cellStyle name="60 % - Akzent3" xfId="6" builtinId="40"/>
    <cellStyle name="60 % - Akzent6" xfId="9" builtinId="52"/>
    <cellStyle name="Akzent1" xfId="2" builtinId="29"/>
    <cellStyle name="Akzent3" xfId="4" builtinId="37"/>
    <cellStyle name="Akzent4" xfId="10" builtinId="41"/>
    <cellStyle name="Akzent5" xfId="7" builtinId="45"/>
    <cellStyle name="Akzent6" xfId="8" builtinId="49"/>
    <cellStyle name="Prozent" xfId="1" builtinId="5"/>
    <cellStyle name="Standard" xfId="0" builtinId="0"/>
  </cellStyles>
  <dxfs count="4">
    <dxf>
      <fill>
        <patternFill>
          <bgColor theme="0" tint="-0.14996795556505021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colors>
    <mruColors>
      <color rgb="FF3891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</xdr:colOff>
      <xdr:row>0</xdr:row>
      <xdr:rowOff>2</xdr:rowOff>
    </xdr:from>
    <xdr:to>
      <xdr:col>7</xdr:col>
      <xdr:colOff>10591</xdr:colOff>
      <xdr:row>39</xdr:row>
      <xdr:rowOff>130500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DF069E9B-E174-4310-8BE0-75A1A1ABE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" y="2"/>
          <a:ext cx="5344583" cy="7559998"/>
        </a:xfrm>
        <a:prstGeom prst="rect">
          <a:avLst/>
        </a:prstGeom>
        <a:effectLst>
          <a:outerShdw blurRad="50800" dist="38100" dir="2700000" algn="tl" rotWithShape="0">
            <a:prstClr val="black">
              <a:alpha val="50000"/>
            </a:prst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1</xdr:row>
      <xdr:rowOff>114300</xdr:rowOff>
    </xdr:from>
    <xdr:to>
      <xdr:col>4</xdr:col>
      <xdr:colOff>266700</xdr:colOff>
      <xdr:row>12</xdr:row>
      <xdr:rowOff>152400</xdr:rowOff>
    </xdr:to>
    <xdr:sp macro="" textlink="">
      <xdr:nvSpPr>
        <xdr:cNvPr id="2" name="Abgerundetes Rechtec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47650" y="304800"/>
          <a:ext cx="3067050" cy="2133600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ctr"/>
          <a:r>
            <a:rPr lang="de-DE" sz="1100" b="1">
              <a:solidFill>
                <a:schemeClr val="accent1">
                  <a:lumMod val="75000"/>
                </a:schemeClr>
              </a:solidFill>
            </a:rPr>
            <a:t>TSO A</a:t>
          </a:r>
        </a:p>
      </xdr:txBody>
    </xdr:sp>
    <xdr:clientData/>
  </xdr:twoCellAnchor>
  <xdr:twoCellAnchor>
    <xdr:from>
      <xdr:col>4</xdr:col>
      <xdr:colOff>266700</xdr:colOff>
      <xdr:row>1</xdr:row>
      <xdr:rowOff>133350</xdr:rowOff>
    </xdr:from>
    <xdr:to>
      <xdr:col>8</xdr:col>
      <xdr:colOff>285750</xdr:colOff>
      <xdr:row>12</xdr:row>
      <xdr:rowOff>171450</xdr:rowOff>
    </xdr:to>
    <xdr:sp macro="" textlink="">
      <xdr:nvSpPr>
        <xdr:cNvPr id="3" name="Abgerundetes Rechtec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314700" y="323850"/>
          <a:ext cx="3067050" cy="2133600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ctr"/>
          <a:r>
            <a:rPr lang="de-DE" sz="1100" b="1">
              <a:solidFill>
                <a:schemeClr val="accent6">
                  <a:lumMod val="75000"/>
                </a:schemeClr>
              </a:solidFill>
            </a:rPr>
            <a:t>TSO B</a:t>
          </a:r>
        </a:p>
      </xdr:txBody>
    </xdr:sp>
    <xdr:clientData/>
  </xdr:twoCellAnchor>
  <xdr:twoCellAnchor>
    <xdr:from>
      <xdr:col>4</xdr:col>
      <xdr:colOff>273326</xdr:colOff>
      <xdr:row>5</xdr:row>
      <xdr:rowOff>35719</xdr:rowOff>
    </xdr:from>
    <xdr:to>
      <xdr:col>8</xdr:col>
      <xdr:colOff>279797</xdr:colOff>
      <xdr:row>5</xdr:row>
      <xdr:rowOff>49696</xdr:rowOff>
    </xdr:to>
    <xdr:cxnSp macro="">
      <xdr:nvCxnSpPr>
        <xdr:cNvPr id="5" name="Gerade Verbindung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CxnSpPr/>
      </xdr:nvCxnSpPr>
      <xdr:spPr>
        <a:xfrm flipV="1">
          <a:off x="3321326" y="1035844"/>
          <a:ext cx="3054471" cy="13977"/>
        </a:xfrm>
        <a:prstGeom prst="line">
          <a:avLst/>
        </a:prstGeom>
        <a:ln w="38100"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363141</xdr:colOff>
      <xdr:row>5</xdr:row>
      <xdr:rowOff>53578</xdr:rowOff>
    </xdr:from>
    <xdr:to>
      <xdr:col>5</xdr:col>
      <xdr:colOff>369094</xdr:colOff>
      <xdr:row>7</xdr:row>
      <xdr:rowOff>41672</xdr:rowOff>
    </xdr:to>
    <xdr:cxnSp macro="">
      <xdr:nvCxnSpPr>
        <xdr:cNvPr id="9" name="Gerade Verbindung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CxnSpPr/>
      </xdr:nvCxnSpPr>
      <xdr:spPr>
        <a:xfrm flipH="1">
          <a:off x="4173141" y="1053703"/>
          <a:ext cx="5953" cy="369094"/>
        </a:xfrm>
        <a:prstGeom prst="line">
          <a:avLst/>
        </a:prstGeom>
        <a:ln w="38100"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244078</xdr:colOff>
      <xdr:row>5</xdr:row>
      <xdr:rowOff>53580</xdr:rowOff>
    </xdr:from>
    <xdr:to>
      <xdr:col>4</xdr:col>
      <xdr:colOff>250031</xdr:colOff>
      <xdr:row>9</xdr:row>
      <xdr:rowOff>0</xdr:rowOff>
    </xdr:to>
    <xdr:cxnSp macro="">
      <xdr:nvCxnSpPr>
        <xdr:cNvPr id="12" name="Gerade Verbindung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CxnSpPr/>
      </xdr:nvCxnSpPr>
      <xdr:spPr>
        <a:xfrm flipV="1">
          <a:off x="244078" y="1053705"/>
          <a:ext cx="3053953" cy="708420"/>
        </a:xfrm>
        <a:prstGeom prst="line">
          <a:avLst/>
        </a:prstGeom>
        <a:ln w="3810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11906</xdr:colOff>
      <xdr:row>1</xdr:row>
      <xdr:rowOff>119064</xdr:rowOff>
    </xdr:from>
    <xdr:to>
      <xdr:col>1</xdr:col>
      <xdr:colOff>517922</xdr:colOff>
      <xdr:row>7</xdr:row>
      <xdr:rowOff>142875</xdr:rowOff>
    </xdr:to>
    <xdr:cxnSp macro="">
      <xdr:nvCxnSpPr>
        <xdr:cNvPr id="13" name="Gerade Verbindung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CxnSpPr/>
      </xdr:nvCxnSpPr>
      <xdr:spPr>
        <a:xfrm flipH="1" flipV="1">
          <a:off x="773906" y="357189"/>
          <a:ext cx="506016" cy="1166811"/>
        </a:xfrm>
        <a:prstGeom prst="line">
          <a:avLst/>
        </a:prstGeom>
        <a:ln w="3810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386953</xdr:colOff>
      <xdr:row>7</xdr:row>
      <xdr:rowOff>5953</xdr:rowOff>
    </xdr:from>
    <xdr:to>
      <xdr:col>2</xdr:col>
      <xdr:colOff>588065</xdr:colOff>
      <xdr:row>8</xdr:row>
      <xdr:rowOff>132522</xdr:rowOff>
    </xdr:to>
    <xdr:cxnSp macro="">
      <xdr:nvCxnSpPr>
        <xdr:cNvPr id="17" name="Gerade Verbindung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CxnSpPr/>
      </xdr:nvCxnSpPr>
      <xdr:spPr>
        <a:xfrm>
          <a:off x="1910953" y="1587931"/>
          <a:ext cx="201112" cy="317069"/>
        </a:xfrm>
        <a:prstGeom prst="line">
          <a:avLst/>
        </a:prstGeom>
        <a:ln w="3810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196454</xdr:colOff>
      <xdr:row>4</xdr:row>
      <xdr:rowOff>136922</xdr:rowOff>
    </xdr:from>
    <xdr:to>
      <xdr:col>8</xdr:col>
      <xdr:colOff>369095</xdr:colOff>
      <xdr:row>5</xdr:row>
      <xdr:rowOff>119063</xdr:rowOff>
    </xdr:to>
    <xdr:sp macro="" textlink="">
      <xdr:nvSpPr>
        <xdr:cNvPr id="23" name="Ellips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6292454" y="946547"/>
          <a:ext cx="172641" cy="172641"/>
        </a:xfrm>
        <a:prstGeom prst="ellipse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4</xdr:col>
      <xdr:colOff>178594</xdr:colOff>
      <xdr:row>4</xdr:row>
      <xdr:rowOff>148829</xdr:rowOff>
    </xdr:from>
    <xdr:to>
      <xdr:col>4</xdr:col>
      <xdr:colOff>351235</xdr:colOff>
      <xdr:row>5</xdr:row>
      <xdr:rowOff>130970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3226594" y="958454"/>
          <a:ext cx="172641" cy="172641"/>
        </a:xfrm>
        <a:prstGeom prst="ellipse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5</xdr:col>
      <xdr:colOff>273844</xdr:colOff>
      <xdr:row>6</xdr:row>
      <xdr:rowOff>142875</xdr:rowOff>
    </xdr:from>
    <xdr:to>
      <xdr:col>5</xdr:col>
      <xdr:colOff>446485</xdr:colOff>
      <xdr:row>7</xdr:row>
      <xdr:rowOff>125016</xdr:rowOff>
    </xdr:to>
    <xdr:sp macro="" textlink="">
      <xdr:nvSpPr>
        <xdr:cNvPr id="25" name="Ellips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4083844" y="1333500"/>
          <a:ext cx="172641" cy="172641"/>
        </a:xfrm>
        <a:prstGeom prst="ellipse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506793</xdr:colOff>
      <xdr:row>8</xdr:row>
      <xdr:rowOff>67815</xdr:rowOff>
    </xdr:from>
    <xdr:to>
      <xdr:col>2</xdr:col>
      <xdr:colOff>679434</xdr:colOff>
      <xdr:row>9</xdr:row>
      <xdr:rowOff>49956</xdr:rowOff>
    </xdr:to>
    <xdr:sp macro="" textlink="">
      <xdr:nvSpPr>
        <xdr:cNvPr id="26" name="Ellips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2030793" y="1840293"/>
          <a:ext cx="172641" cy="172641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178594</xdr:colOff>
      <xdr:row>8</xdr:row>
      <xdr:rowOff>107157</xdr:rowOff>
    </xdr:from>
    <xdr:to>
      <xdr:col>0</xdr:col>
      <xdr:colOff>351235</xdr:colOff>
      <xdr:row>9</xdr:row>
      <xdr:rowOff>89298</xdr:rowOff>
    </xdr:to>
    <xdr:sp macro="" textlink="">
      <xdr:nvSpPr>
        <xdr:cNvPr id="28" name="Ellips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178594" y="1678782"/>
          <a:ext cx="172641" cy="172641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4</xdr:col>
      <xdr:colOff>125016</xdr:colOff>
      <xdr:row>4</xdr:row>
      <xdr:rowOff>154782</xdr:rowOff>
    </xdr:from>
    <xdr:to>
      <xdr:col>4</xdr:col>
      <xdr:colOff>297657</xdr:colOff>
      <xdr:row>5</xdr:row>
      <xdr:rowOff>136923</xdr:rowOff>
    </xdr:to>
    <xdr:sp macro="" textlink="">
      <xdr:nvSpPr>
        <xdr:cNvPr id="29" name="Ellips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3173016" y="964407"/>
          <a:ext cx="172641" cy="172641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8</xdr:col>
      <xdr:colOff>392906</xdr:colOff>
      <xdr:row>4</xdr:row>
      <xdr:rowOff>101202</xdr:rowOff>
    </xdr:from>
    <xdr:to>
      <xdr:col>9</xdr:col>
      <xdr:colOff>339328</xdr:colOff>
      <xdr:row>5</xdr:row>
      <xdr:rowOff>160734</xdr:rowOff>
    </xdr:to>
    <xdr:sp macro="" textlink="">
      <xdr:nvSpPr>
        <xdr:cNvPr id="30" name="Textfeld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6488906" y="910827"/>
          <a:ext cx="708422" cy="25003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/>
            <a:t>Entry</a:t>
          </a:r>
          <a:r>
            <a:rPr lang="de-DE" sz="1100" baseline="0"/>
            <a:t> B1</a:t>
          </a:r>
          <a:endParaRPr lang="de-DE" sz="1100"/>
        </a:p>
      </xdr:txBody>
    </xdr:sp>
    <xdr:clientData/>
  </xdr:twoCellAnchor>
  <xdr:twoCellAnchor>
    <xdr:from>
      <xdr:col>4</xdr:col>
      <xdr:colOff>672703</xdr:colOff>
      <xdr:row>7</xdr:row>
      <xdr:rowOff>166688</xdr:rowOff>
    </xdr:from>
    <xdr:to>
      <xdr:col>6</xdr:col>
      <xdr:colOff>41672</xdr:colOff>
      <xdr:row>9</xdr:row>
      <xdr:rowOff>5954</xdr:rowOff>
    </xdr:to>
    <xdr:sp macro="" textlink="">
      <xdr:nvSpPr>
        <xdr:cNvPr id="31" name="Textfeld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3720703" y="1547813"/>
          <a:ext cx="892969" cy="22026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/>
            <a:t>Exit Dom</a:t>
          </a:r>
          <a:r>
            <a:rPr lang="de-DE" sz="1100" baseline="0"/>
            <a:t> B2</a:t>
          </a:r>
          <a:endParaRPr lang="de-DE" sz="1100"/>
        </a:p>
      </xdr:txBody>
    </xdr:sp>
    <xdr:clientData/>
  </xdr:twoCellAnchor>
  <xdr:twoCellAnchor>
    <xdr:from>
      <xdr:col>4</xdr:col>
      <xdr:colOff>345281</xdr:colOff>
      <xdr:row>3</xdr:row>
      <xdr:rowOff>89297</xdr:rowOff>
    </xdr:from>
    <xdr:to>
      <xdr:col>5</xdr:col>
      <xdr:colOff>476250</xdr:colOff>
      <xdr:row>4</xdr:row>
      <xdr:rowOff>119063</xdr:rowOff>
    </xdr:to>
    <xdr:sp macro="" textlink="">
      <xdr:nvSpPr>
        <xdr:cNvPr id="32" name="Textfeld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3393281" y="708422"/>
          <a:ext cx="892969" cy="22026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/>
            <a:t>Exit </a:t>
          </a:r>
          <a:r>
            <a:rPr lang="de-DE" sz="1100" baseline="0"/>
            <a:t>B3</a:t>
          </a:r>
          <a:endParaRPr lang="de-DE" sz="1100"/>
        </a:p>
      </xdr:txBody>
    </xdr:sp>
    <xdr:clientData/>
  </xdr:twoCellAnchor>
  <xdr:twoCellAnchor>
    <xdr:from>
      <xdr:col>3</xdr:col>
      <xdr:colOff>77391</xdr:colOff>
      <xdr:row>3</xdr:row>
      <xdr:rowOff>89297</xdr:rowOff>
    </xdr:from>
    <xdr:to>
      <xdr:col>4</xdr:col>
      <xdr:colOff>208360</xdr:colOff>
      <xdr:row>4</xdr:row>
      <xdr:rowOff>119063</xdr:rowOff>
    </xdr:to>
    <xdr:sp macro="" textlink="">
      <xdr:nvSpPr>
        <xdr:cNvPr id="33" name="Textfeld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2363391" y="708422"/>
          <a:ext cx="892969" cy="22026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aseline="0"/>
            <a:t>Entry A1</a:t>
          </a:r>
          <a:endParaRPr lang="de-DE" sz="1100"/>
        </a:p>
      </xdr:txBody>
    </xdr:sp>
    <xdr:clientData/>
  </xdr:twoCellAnchor>
  <xdr:twoCellAnchor>
    <xdr:from>
      <xdr:col>0</xdr:col>
      <xdr:colOff>321470</xdr:colOff>
      <xdr:row>9</xdr:row>
      <xdr:rowOff>130969</xdr:rowOff>
    </xdr:from>
    <xdr:to>
      <xdr:col>1</xdr:col>
      <xdr:colOff>452439</xdr:colOff>
      <xdr:row>10</xdr:row>
      <xdr:rowOff>160735</xdr:rowOff>
    </xdr:to>
    <xdr:sp macro="" textlink="">
      <xdr:nvSpPr>
        <xdr:cNvPr id="34" name="Textfeld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321470" y="1893094"/>
          <a:ext cx="892969" cy="22026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/>
            <a:t>Exit</a:t>
          </a:r>
          <a:r>
            <a:rPr lang="de-DE" sz="1100" baseline="0"/>
            <a:t> A4</a:t>
          </a:r>
          <a:endParaRPr lang="de-DE" sz="1100"/>
        </a:p>
      </xdr:txBody>
    </xdr:sp>
    <xdr:clientData/>
  </xdr:twoCellAnchor>
  <xdr:twoCellAnchor>
    <xdr:from>
      <xdr:col>1</xdr:col>
      <xdr:colOff>232172</xdr:colOff>
      <xdr:row>1</xdr:row>
      <xdr:rowOff>178593</xdr:rowOff>
    </xdr:from>
    <xdr:to>
      <xdr:col>2</xdr:col>
      <xdr:colOff>314739</xdr:colOff>
      <xdr:row>2</xdr:row>
      <xdr:rowOff>231912</xdr:rowOff>
    </xdr:to>
    <xdr:sp macro="" textlink="">
      <xdr:nvSpPr>
        <xdr:cNvPr id="35" name="Textfeld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994172" y="427071"/>
          <a:ext cx="844567" cy="243819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aseline="0"/>
            <a:t>Entry A2</a:t>
          </a:r>
          <a:endParaRPr lang="de-DE" sz="1100"/>
        </a:p>
      </xdr:txBody>
    </xdr:sp>
    <xdr:clientData/>
  </xdr:twoCellAnchor>
  <xdr:twoCellAnchor>
    <xdr:from>
      <xdr:col>2</xdr:col>
      <xdr:colOff>613949</xdr:colOff>
      <xdr:row>9</xdr:row>
      <xdr:rowOff>93956</xdr:rowOff>
    </xdr:from>
    <xdr:to>
      <xdr:col>3</xdr:col>
      <xdr:colOff>744918</xdr:colOff>
      <xdr:row>10</xdr:row>
      <xdr:rowOff>123722</xdr:rowOff>
    </xdr:to>
    <xdr:sp macro="" textlink="">
      <xdr:nvSpPr>
        <xdr:cNvPr id="36" name="Textfeld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2137949" y="2056934"/>
          <a:ext cx="892969" cy="22026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aseline="0"/>
            <a:t>Exit Dom A3</a:t>
          </a:r>
          <a:endParaRPr lang="de-DE" sz="1100"/>
        </a:p>
      </xdr:txBody>
    </xdr:sp>
    <xdr:clientData/>
  </xdr:twoCellAnchor>
  <xdr:twoCellAnchor>
    <xdr:from>
      <xdr:col>0</xdr:col>
      <xdr:colOff>684152</xdr:colOff>
      <xdr:row>1</xdr:row>
      <xdr:rowOff>22897</xdr:rowOff>
    </xdr:from>
    <xdr:to>
      <xdr:col>1</xdr:col>
      <xdr:colOff>94793</xdr:colOff>
      <xdr:row>1</xdr:row>
      <xdr:rowOff>195538</xdr:rowOff>
    </xdr:to>
    <xdr:sp macro="" textlink="">
      <xdr:nvSpPr>
        <xdr:cNvPr id="58" name="Ellips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/>
      </xdr:nvSpPr>
      <xdr:spPr>
        <a:xfrm>
          <a:off x="684152" y="264685"/>
          <a:ext cx="172641" cy="172641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247649</xdr:colOff>
      <xdr:row>23</xdr:row>
      <xdr:rowOff>114300</xdr:rowOff>
    </xdr:from>
    <xdr:to>
      <xdr:col>8</xdr:col>
      <xdr:colOff>295274</xdr:colOff>
      <xdr:row>34</xdr:row>
      <xdr:rowOff>152400</xdr:rowOff>
    </xdr:to>
    <xdr:sp macro="" textlink="">
      <xdr:nvSpPr>
        <xdr:cNvPr id="60" name="Abgerundetes Rechteck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/>
      </xdr:nvSpPr>
      <xdr:spPr>
        <a:xfrm>
          <a:off x="247649" y="7286625"/>
          <a:ext cx="6143625" cy="2133600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ctr"/>
          <a:r>
            <a:rPr lang="de-DE" sz="1100" b="1">
              <a:solidFill>
                <a:schemeClr val="accent4">
                  <a:lumMod val="50000"/>
                </a:schemeClr>
              </a:solidFill>
            </a:rPr>
            <a:t>TSO A + TSO B</a:t>
          </a:r>
        </a:p>
      </xdr:txBody>
    </xdr:sp>
    <xdr:clientData/>
  </xdr:twoCellAnchor>
  <xdr:twoCellAnchor>
    <xdr:from>
      <xdr:col>4</xdr:col>
      <xdr:colOff>273326</xdr:colOff>
      <xdr:row>27</xdr:row>
      <xdr:rowOff>35719</xdr:rowOff>
    </xdr:from>
    <xdr:to>
      <xdr:col>8</xdr:col>
      <xdr:colOff>279797</xdr:colOff>
      <xdr:row>27</xdr:row>
      <xdr:rowOff>49696</xdr:rowOff>
    </xdr:to>
    <xdr:cxnSp macro="">
      <xdr:nvCxnSpPr>
        <xdr:cNvPr id="62" name="Gerade Verbindung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CxnSpPr/>
      </xdr:nvCxnSpPr>
      <xdr:spPr>
        <a:xfrm flipV="1">
          <a:off x="3321326" y="1235869"/>
          <a:ext cx="3054471" cy="13977"/>
        </a:xfrm>
        <a:prstGeom prst="line">
          <a:avLst/>
        </a:prstGeom>
        <a:ln w="38100"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363141</xdr:colOff>
      <xdr:row>27</xdr:row>
      <xdr:rowOff>53578</xdr:rowOff>
    </xdr:from>
    <xdr:to>
      <xdr:col>5</xdr:col>
      <xdr:colOff>369094</xdr:colOff>
      <xdr:row>29</xdr:row>
      <xdr:rowOff>41672</xdr:rowOff>
    </xdr:to>
    <xdr:cxnSp macro="">
      <xdr:nvCxnSpPr>
        <xdr:cNvPr id="63" name="Gerade Verbindung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CxnSpPr/>
      </xdr:nvCxnSpPr>
      <xdr:spPr>
        <a:xfrm flipH="1">
          <a:off x="4173141" y="1253728"/>
          <a:ext cx="5953" cy="369094"/>
        </a:xfrm>
        <a:prstGeom prst="line">
          <a:avLst/>
        </a:prstGeom>
        <a:ln w="38100"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244078</xdr:colOff>
      <xdr:row>27</xdr:row>
      <xdr:rowOff>53580</xdr:rowOff>
    </xdr:from>
    <xdr:to>
      <xdr:col>4</xdr:col>
      <xdr:colOff>250031</xdr:colOff>
      <xdr:row>31</xdr:row>
      <xdr:rowOff>0</xdr:rowOff>
    </xdr:to>
    <xdr:cxnSp macro="">
      <xdr:nvCxnSpPr>
        <xdr:cNvPr id="64" name="Gerade Verbindung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CxnSpPr/>
      </xdr:nvCxnSpPr>
      <xdr:spPr>
        <a:xfrm flipV="1">
          <a:off x="244078" y="1253730"/>
          <a:ext cx="3053953" cy="708420"/>
        </a:xfrm>
        <a:prstGeom prst="line">
          <a:avLst/>
        </a:prstGeom>
        <a:ln w="3810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11906</xdr:colOff>
      <xdr:row>23</xdr:row>
      <xdr:rowOff>119064</xdr:rowOff>
    </xdr:from>
    <xdr:to>
      <xdr:col>1</xdr:col>
      <xdr:colOff>515471</xdr:colOff>
      <xdr:row>29</xdr:row>
      <xdr:rowOff>100853</xdr:rowOff>
    </xdr:to>
    <xdr:cxnSp macro="">
      <xdr:nvCxnSpPr>
        <xdr:cNvPr id="65" name="Gerade Verbindung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CxnSpPr/>
      </xdr:nvCxnSpPr>
      <xdr:spPr>
        <a:xfrm flipH="1" flipV="1">
          <a:off x="773906" y="5195329"/>
          <a:ext cx="503565" cy="1337700"/>
        </a:xfrm>
        <a:prstGeom prst="line">
          <a:avLst/>
        </a:prstGeom>
        <a:ln w="3810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336176</xdr:colOff>
      <xdr:row>28</xdr:row>
      <xdr:rowOff>100853</xdr:rowOff>
    </xdr:from>
    <xdr:to>
      <xdr:col>2</xdr:col>
      <xdr:colOff>588065</xdr:colOff>
      <xdr:row>30</xdr:row>
      <xdr:rowOff>132522</xdr:rowOff>
    </xdr:to>
    <xdr:cxnSp macro="">
      <xdr:nvCxnSpPr>
        <xdr:cNvPr id="66" name="Gerade Verbindung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>
          <a:off x="1860176" y="6723529"/>
          <a:ext cx="251889" cy="412669"/>
        </a:xfrm>
        <a:prstGeom prst="line">
          <a:avLst/>
        </a:prstGeom>
        <a:ln w="3810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196454</xdr:colOff>
      <xdr:row>26</xdr:row>
      <xdr:rowOff>136922</xdr:rowOff>
    </xdr:from>
    <xdr:to>
      <xdr:col>8</xdr:col>
      <xdr:colOff>369095</xdr:colOff>
      <xdr:row>27</xdr:row>
      <xdr:rowOff>119063</xdr:rowOff>
    </xdr:to>
    <xdr:sp macro="" textlink="">
      <xdr:nvSpPr>
        <xdr:cNvPr id="67" name="Ellips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/>
      </xdr:nvSpPr>
      <xdr:spPr>
        <a:xfrm>
          <a:off x="6292454" y="1146572"/>
          <a:ext cx="172641" cy="172641"/>
        </a:xfrm>
        <a:prstGeom prst="ellipse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5</xdr:col>
      <xdr:colOff>273844</xdr:colOff>
      <xdr:row>28</xdr:row>
      <xdr:rowOff>142875</xdr:rowOff>
    </xdr:from>
    <xdr:to>
      <xdr:col>5</xdr:col>
      <xdr:colOff>446485</xdr:colOff>
      <xdr:row>29</xdr:row>
      <xdr:rowOff>125016</xdr:rowOff>
    </xdr:to>
    <xdr:sp macro="" textlink="">
      <xdr:nvSpPr>
        <xdr:cNvPr id="69" name="Ellips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/>
      </xdr:nvSpPr>
      <xdr:spPr>
        <a:xfrm>
          <a:off x="4083844" y="1533525"/>
          <a:ext cx="172641" cy="172641"/>
        </a:xfrm>
        <a:prstGeom prst="ellipse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506793</xdr:colOff>
      <xdr:row>30</xdr:row>
      <xdr:rowOff>67815</xdr:rowOff>
    </xdr:from>
    <xdr:to>
      <xdr:col>2</xdr:col>
      <xdr:colOff>679434</xdr:colOff>
      <xdr:row>31</xdr:row>
      <xdr:rowOff>49956</xdr:rowOff>
    </xdr:to>
    <xdr:sp macro="" textlink="">
      <xdr:nvSpPr>
        <xdr:cNvPr id="70" name="Ellips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/>
      </xdr:nvSpPr>
      <xdr:spPr>
        <a:xfrm>
          <a:off x="2030793" y="7071491"/>
          <a:ext cx="172641" cy="172641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178594</xdr:colOff>
      <xdr:row>30</xdr:row>
      <xdr:rowOff>107157</xdr:rowOff>
    </xdr:from>
    <xdr:to>
      <xdr:col>0</xdr:col>
      <xdr:colOff>351235</xdr:colOff>
      <xdr:row>31</xdr:row>
      <xdr:rowOff>89298</xdr:rowOff>
    </xdr:to>
    <xdr:sp macro="" textlink="">
      <xdr:nvSpPr>
        <xdr:cNvPr id="71" name="Ellips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/>
      </xdr:nvSpPr>
      <xdr:spPr>
        <a:xfrm>
          <a:off x="178594" y="1878807"/>
          <a:ext cx="172641" cy="172641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4</xdr:col>
      <xdr:colOff>125016</xdr:colOff>
      <xdr:row>26</xdr:row>
      <xdr:rowOff>154782</xdr:rowOff>
    </xdr:from>
    <xdr:to>
      <xdr:col>4</xdr:col>
      <xdr:colOff>297657</xdr:colOff>
      <xdr:row>27</xdr:row>
      <xdr:rowOff>136923</xdr:rowOff>
    </xdr:to>
    <xdr:sp macro="" textlink="">
      <xdr:nvSpPr>
        <xdr:cNvPr id="72" name="Ellipse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/>
      </xdr:nvSpPr>
      <xdr:spPr>
        <a:xfrm>
          <a:off x="3173016" y="1164432"/>
          <a:ext cx="172641" cy="172641"/>
        </a:xfrm>
        <a:prstGeom prst="ellipse">
          <a:avLst/>
        </a:prstGeom>
        <a:ln/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8</xdr:col>
      <xdr:colOff>392906</xdr:colOff>
      <xdr:row>26</xdr:row>
      <xdr:rowOff>101202</xdr:rowOff>
    </xdr:from>
    <xdr:to>
      <xdr:col>9</xdr:col>
      <xdr:colOff>339328</xdr:colOff>
      <xdr:row>27</xdr:row>
      <xdr:rowOff>160734</xdr:rowOff>
    </xdr:to>
    <xdr:sp macro="" textlink="">
      <xdr:nvSpPr>
        <xdr:cNvPr id="73" name="Textfeld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/>
      </xdr:nvSpPr>
      <xdr:spPr>
        <a:xfrm>
          <a:off x="6488906" y="1110852"/>
          <a:ext cx="708422" cy="25003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/>
            <a:t>Entry</a:t>
          </a:r>
          <a:r>
            <a:rPr lang="de-DE" sz="1100" baseline="0"/>
            <a:t> B1</a:t>
          </a:r>
          <a:endParaRPr lang="de-DE" sz="1100"/>
        </a:p>
      </xdr:txBody>
    </xdr:sp>
    <xdr:clientData/>
  </xdr:twoCellAnchor>
  <xdr:twoCellAnchor>
    <xdr:from>
      <xdr:col>4</xdr:col>
      <xdr:colOff>672703</xdr:colOff>
      <xdr:row>29</xdr:row>
      <xdr:rowOff>166688</xdr:rowOff>
    </xdr:from>
    <xdr:to>
      <xdr:col>6</xdr:col>
      <xdr:colOff>41672</xdr:colOff>
      <xdr:row>31</xdr:row>
      <xdr:rowOff>5954</xdr:rowOff>
    </xdr:to>
    <xdr:sp macro="" textlink="">
      <xdr:nvSpPr>
        <xdr:cNvPr id="74" name="Textfeld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3720703" y="1747838"/>
          <a:ext cx="892969" cy="22026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/>
            <a:t>Exit Dom</a:t>
          </a:r>
          <a:r>
            <a:rPr lang="de-DE" sz="1100" baseline="0"/>
            <a:t> B2</a:t>
          </a:r>
          <a:endParaRPr lang="de-DE" sz="1100"/>
        </a:p>
      </xdr:txBody>
    </xdr:sp>
    <xdr:clientData/>
  </xdr:twoCellAnchor>
  <xdr:twoCellAnchor>
    <xdr:from>
      <xdr:col>0</xdr:col>
      <xdr:colOff>321470</xdr:colOff>
      <xdr:row>31</xdr:row>
      <xdr:rowOff>130969</xdr:rowOff>
    </xdr:from>
    <xdr:to>
      <xdr:col>1</xdr:col>
      <xdr:colOff>452439</xdr:colOff>
      <xdr:row>32</xdr:row>
      <xdr:rowOff>160735</xdr:rowOff>
    </xdr:to>
    <xdr:sp macro="" textlink="">
      <xdr:nvSpPr>
        <xdr:cNvPr id="77" name="Textfeld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321470" y="2093119"/>
          <a:ext cx="892969" cy="22026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/>
            <a:t>Exit</a:t>
          </a:r>
          <a:r>
            <a:rPr lang="de-DE" sz="1100" baseline="0"/>
            <a:t> A4</a:t>
          </a:r>
          <a:endParaRPr lang="de-DE" sz="1100"/>
        </a:p>
      </xdr:txBody>
    </xdr:sp>
    <xdr:clientData/>
  </xdr:twoCellAnchor>
  <xdr:twoCellAnchor>
    <xdr:from>
      <xdr:col>1</xdr:col>
      <xdr:colOff>232172</xdr:colOff>
      <xdr:row>23</xdr:row>
      <xdr:rowOff>178593</xdr:rowOff>
    </xdr:from>
    <xdr:to>
      <xdr:col>2</xdr:col>
      <xdr:colOff>314739</xdr:colOff>
      <xdr:row>24</xdr:row>
      <xdr:rowOff>231912</xdr:rowOff>
    </xdr:to>
    <xdr:sp macro="" textlink="">
      <xdr:nvSpPr>
        <xdr:cNvPr id="78" name="Textfeld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/>
      </xdr:nvSpPr>
      <xdr:spPr>
        <a:xfrm>
          <a:off x="994172" y="426243"/>
          <a:ext cx="844567" cy="243819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aseline="0"/>
            <a:t>Entry A2</a:t>
          </a:r>
          <a:endParaRPr lang="de-DE" sz="1100"/>
        </a:p>
      </xdr:txBody>
    </xdr:sp>
    <xdr:clientData/>
  </xdr:twoCellAnchor>
  <xdr:twoCellAnchor>
    <xdr:from>
      <xdr:col>2</xdr:col>
      <xdr:colOff>613949</xdr:colOff>
      <xdr:row>31</xdr:row>
      <xdr:rowOff>93956</xdr:rowOff>
    </xdr:from>
    <xdr:to>
      <xdr:col>3</xdr:col>
      <xdr:colOff>744918</xdr:colOff>
      <xdr:row>32</xdr:row>
      <xdr:rowOff>123722</xdr:rowOff>
    </xdr:to>
    <xdr:sp macro="" textlink="">
      <xdr:nvSpPr>
        <xdr:cNvPr id="79" name="Textfeld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/>
      </xdr:nvSpPr>
      <xdr:spPr>
        <a:xfrm>
          <a:off x="2137949" y="2056106"/>
          <a:ext cx="892969" cy="22026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aseline="0"/>
            <a:t>Exit Dom A3</a:t>
          </a:r>
          <a:endParaRPr lang="de-DE" sz="1100"/>
        </a:p>
      </xdr:txBody>
    </xdr:sp>
    <xdr:clientData/>
  </xdr:twoCellAnchor>
  <xdr:twoCellAnchor>
    <xdr:from>
      <xdr:col>0</xdr:col>
      <xdr:colOff>684152</xdr:colOff>
      <xdr:row>23</xdr:row>
      <xdr:rowOff>22897</xdr:rowOff>
    </xdr:from>
    <xdr:to>
      <xdr:col>1</xdr:col>
      <xdr:colOff>94793</xdr:colOff>
      <xdr:row>23</xdr:row>
      <xdr:rowOff>195538</xdr:rowOff>
    </xdr:to>
    <xdr:sp macro="" textlink="">
      <xdr:nvSpPr>
        <xdr:cNvPr id="80" name="Ellipse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/>
      </xdr:nvSpPr>
      <xdr:spPr>
        <a:xfrm>
          <a:off x="684152" y="270547"/>
          <a:ext cx="172641" cy="163116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</xdr:col>
      <xdr:colOff>472678</xdr:colOff>
      <xdr:row>23</xdr:row>
      <xdr:rowOff>180975</xdr:rowOff>
    </xdr:from>
    <xdr:to>
      <xdr:col>4</xdr:col>
      <xdr:colOff>603647</xdr:colOff>
      <xdr:row>26</xdr:row>
      <xdr:rowOff>85725</xdr:rowOff>
    </xdr:to>
    <xdr:sp macro="" textlink="">
      <xdr:nvSpPr>
        <xdr:cNvPr id="81" name="Textfeld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2758678" y="5067300"/>
          <a:ext cx="892969" cy="476250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050"/>
            <a:t>Connection</a:t>
          </a:r>
          <a:r>
            <a:rPr lang="de-DE" sz="1050" baseline="0"/>
            <a:t> </a:t>
          </a:r>
          <a:r>
            <a:rPr lang="de-DE" sz="1050"/>
            <a:t> Point AB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1</xdr:row>
      <xdr:rowOff>114300</xdr:rowOff>
    </xdr:from>
    <xdr:to>
      <xdr:col>4</xdr:col>
      <xdr:colOff>266700</xdr:colOff>
      <xdr:row>12</xdr:row>
      <xdr:rowOff>152400</xdr:rowOff>
    </xdr:to>
    <xdr:sp macro="" textlink="">
      <xdr:nvSpPr>
        <xdr:cNvPr id="2" name="Abgerundetes Rechtec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47650" y="361950"/>
          <a:ext cx="3067050" cy="2324100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ctr"/>
          <a:r>
            <a:rPr lang="de-DE" sz="1100" b="1">
              <a:solidFill>
                <a:schemeClr val="accent1">
                  <a:lumMod val="75000"/>
                </a:schemeClr>
              </a:solidFill>
            </a:rPr>
            <a:t>TSO A</a:t>
          </a:r>
        </a:p>
      </xdr:txBody>
    </xdr:sp>
    <xdr:clientData/>
  </xdr:twoCellAnchor>
  <xdr:twoCellAnchor>
    <xdr:from>
      <xdr:col>4</xdr:col>
      <xdr:colOff>266700</xdr:colOff>
      <xdr:row>1</xdr:row>
      <xdr:rowOff>133350</xdr:rowOff>
    </xdr:from>
    <xdr:to>
      <xdr:col>8</xdr:col>
      <xdr:colOff>285750</xdr:colOff>
      <xdr:row>12</xdr:row>
      <xdr:rowOff>171450</xdr:rowOff>
    </xdr:to>
    <xdr:sp macro="" textlink="">
      <xdr:nvSpPr>
        <xdr:cNvPr id="3" name="Abgerundetes Rechtec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3314700" y="381000"/>
          <a:ext cx="3324225" cy="2324100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ctr"/>
          <a:r>
            <a:rPr lang="de-DE" sz="1100" b="1">
              <a:solidFill>
                <a:schemeClr val="accent6">
                  <a:lumMod val="75000"/>
                </a:schemeClr>
              </a:solidFill>
            </a:rPr>
            <a:t>TSO B</a:t>
          </a:r>
        </a:p>
      </xdr:txBody>
    </xdr:sp>
    <xdr:clientData/>
  </xdr:twoCellAnchor>
  <xdr:twoCellAnchor>
    <xdr:from>
      <xdr:col>4</xdr:col>
      <xdr:colOff>273326</xdr:colOff>
      <xdr:row>5</xdr:row>
      <xdr:rowOff>35719</xdr:rowOff>
    </xdr:from>
    <xdr:to>
      <xdr:col>8</xdr:col>
      <xdr:colOff>279797</xdr:colOff>
      <xdr:row>5</xdr:row>
      <xdr:rowOff>49696</xdr:rowOff>
    </xdr:to>
    <xdr:cxnSp macro="">
      <xdr:nvCxnSpPr>
        <xdr:cNvPr id="4" name="Gerade Verbindung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 flipV="1">
          <a:off x="3321326" y="1235869"/>
          <a:ext cx="3311646" cy="13977"/>
        </a:xfrm>
        <a:prstGeom prst="line">
          <a:avLst/>
        </a:prstGeom>
        <a:ln w="38100"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363141</xdr:colOff>
      <xdr:row>5</xdr:row>
      <xdr:rowOff>53578</xdr:rowOff>
    </xdr:from>
    <xdr:to>
      <xdr:col>5</xdr:col>
      <xdr:colOff>369094</xdr:colOff>
      <xdr:row>7</xdr:row>
      <xdr:rowOff>41672</xdr:rowOff>
    </xdr:to>
    <xdr:cxnSp macro="">
      <xdr:nvCxnSpPr>
        <xdr:cNvPr id="5" name="Gerade Verbindung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CxnSpPr/>
      </xdr:nvCxnSpPr>
      <xdr:spPr>
        <a:xfrm flipH="1">
          <a:off x="4173141" y="1253728"/>
          <a:ext cx="5953" cy="369094"/>
        </a:xfrm>
        <a:prstGeom prst="line">
          <a:avLst/>
        </a:prstGeom>
        <a:ln w="38100"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244078</xdr:colOff>
      <xdr:row>5</xdr:row>
      <xdr:rowOff>53580</xdr:rowOff>
    </xdr:from>
    <xdr:to>
      <xdr:col>4</xdr:col>
      <xdr:colOff>250031</xdr:colOff>
      <xdr:row>9</xdr:row>
      <xdr:rowOff>0</xdr:rowOff>
    </xdr:to>
    <xdr:cxnSp macro="">
      <xdr:nvCxnSpPr>
        <xdr:cNvPr id="6" name="Gerade Verbindung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CxnSpPr/>
      </xdr:nvCxnSpPr>
      <xdr:spPr>
        <a:xfrm flipV="1">
          <a:off x="244078" y="1253730"/>
          <a:ext cx="3053953" cy="708420"/>
        </a:xfrm>
        <a:prstGeom prst="line">
          <a:avLst/>
        </a:prstGeom>
        <a:ln w="3810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11906</xdr:colOff>
      <xdr:row>1</xdr:row>
      <xdr:rowOff>119064</xdr:rowOff>
    </xdr:from>
    <xdr:to>
      <xdr:col>1</xdr:col>
      <xdr:colOff>517922</xdr:colOff>
      <xdr:row>7</xdr:row>
      <xdr:rowOff>142875</xdr:rowOff>
    </xdr:to>
    <xdr:cxnSp macro="">
      <xdr:nvCxnSpPr>
        <xdr:cNvPr id="7" name="Gerade Verbindung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CxnSpPr/>
      </xdr:nvCxnSpPr>
      <xdr:spPr>
        <a:xfrm flipH="1" flipV="1">
          <a:off x="773906" y="366714"/>
          <a:ext cx="506016" cy="1357311"/>
        </a:xfrm>
        <a:prstGeom prst="line">
          <a:avLst/>
        </a:prstGeom>
        <a:ln w="3810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386953</xdr:colOff>
      <xdr:row>7</xdr:row>
      <xdr:rowOff>5953</xdr:rowOff>
    </xdr:from>
    <xdr:to>
      <xdr:col>2</xdr:col>
      <xdr:colOff>588065</xdr:colOff>
      <xdr:row>8</xdr:row>
      <xdr:rowOff>132522</xdr:rowOff>
    </xdr:to>
    <xdr:cxnSp macro="">
      <xdr:nvCxnSpPr>
        <xdr:cNvPr id="8" name="Gerade Verbindung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>
        <a:xfrm>
          <a:off x="1910953" y="1587103"/>
          <a:ext cx="201112" cy="317069"/>
        </a:xfrm>
        <a:prstGeom prst="line">
          <a:avLst/>
        </a:prstGeom>
        <a:ln w="3810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196454</xdr:colOff>
      <xdr:row>4</xdr:row>
      <xdr:rowOff>136922</xdr:rowOff>
    </xdr:from>
    <xdr:to>
      <xdr:col>8</xdr:col>
      <xdr:colOff>369095</xdr:colOff>
      <xdr:row>5</xdr:row>
      <xdr:rowOff>119063</xdr:rowOff>
    </xdr:to>
    <xdr:sp macro="" textlink="">
      <xdr:nvSpPr>
        <xdr:cNvPr id="9" name="Ellips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6549629" y="1146572"/>
          <a:ext cx="172641" cy="172641"/>
        </a:xfrm>
        <a:prstGeom prst="ellipse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4</xdr:col>
      <xdr:colOff>178594</xdr:colOff>
      <xdr:row>4</xdr:row>
      <xdr:rowOff>148829</xdr:rowOff>
    </xdr:from>
    <xdr:to>
      <xdr:col>4</xdr:col>
      <xdr:colOff>351235</xdr:colOff>
      <xdr:row>5</xdr:row>
      <xdr:rowOff>130970</xdr:rowOff>
    </xdr:to>
    <xdr:sp macro="" textlink="">
      <xdr:nvSpPr>
        <xdr:cNvPr id="10" name="Ellips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3226594" y="1158479"/>
          <a:ext cx="172641" cy="172641"/>
        </a:xfrm>
        <a:prstGeom prst="ellipse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5</xdr:col>
      <xdr:colOff>273844</xdr:colOff>
      <xdr:row>6</xdr:row>
      <xdr:rowOff>142875</xdr:rowOff>
    </xdr:from>
    <xdr:to>
      <xdr:col>5</xdr:col>
      <xdr:colOff>446485</xdr:colOff>
      <xdr:row>7</xdr:row>
      <xdr:rowOff>125016</xdr:rowOff>
    </xdr:to>
    <xdr:sp macro="" textlink="">
      <xdr:nvSpPr>
        <xdr:cNvPr id="11" name="Ellips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083844" y="1533525"/>
          <a:ext cx="172641" cy="172641"/>
        </a:xfrm>
        <a:prstGeom prst="ellipse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506793</xdr:colOff>
      <xdr:row>8</xdr:row>
      <xdr:rowOff>67815</xdr:rowOff>
    </xdr:from>
    <xdr:to>
      <xdr:col>2</xdr:col>
      <xdr:colOff>679434</xdr:colOff>
      <xdr:row>9</xdr:row>
      <xdr:rowOff>49956</xdr:rowOff>
    </xdr:to>
    <xdr:sp macro="" textlink="">
      <xdr:nvSpPr>
        <xdr:cNvPr id="12" name="Ellips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2030793" y="1839465"/>
          <a:ext cx="172641" cy="172641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178594</xdr:colOff>
      <xdr:row>8</xdr:row>
      <xdr:rowOff>107157</xdr:rowOff>
    </xdr:from>
    <xdr:to>
      <xdr:col>0</xdr:col>
      <xdr:colOff>351235</xdr:colOff>
      <xdr:row>9</xdr:row>
      <xdr:rowOff>89298</xdr:rowOff>
    </xdr:to>
    <xdr:sp macro="" textlink="">
      <xdr:nvSpPr>
        <xdr:cNvPr id="13" name="Ellips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78594" y="1878807"/>
          <a:ext cx="172641" cy="172641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4</xdr:col>
      <xdr:colOff>125016</xdr:colOff>
      <xdr:row>4</xdr:row>
      <xdr:rowOff>154782</xdr:rowOff>
    </xdr:from>
    <xdr:to>
      <xdr:col>4</xdr:col>
      <xdr:colOff>297657</xdr:colOff>
      <xdr:row>5</xdr:row>
      <xdr:rowOff>136923</xdr:rowOff>
    </xdr:to>
    <xdr:sp macro="" textlink="">
      <xdr:nvSpPr>
        <xdr:cNvPr id="14" name="Ellips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3173016" y="1164432"/>
          <a:ext cx="172641" cy="172641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8</xdr:col>
      <xdr:colOff>392906</xdr:colOff>
      <xdr:row>4</xdr:row>
      <xdr:rowOff>101202</xdr:rowOff>
    </xdr:from>
    <xdr:to>
      <xdr:col>9</xdr:col>
      <xdr:colOff>339328</xdr:colOff>
      <xdr:row>5</xdr:row>
      <xdr:rowOff>160734</xdr:rowOff>
    </xdr:to>
    <xdr:sp macro="" textlink="">
      <xdr:nvSpPr>
        <xdr:cNvPr id="15" name="Textfeld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6746081" y="1110852"/>
          <a:ext cx="708422" cy="25003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/>
            <a:t>Entry</a:t>
          </a:r>
          <a:r>
            <a:rPr lang="de-DE" sz="1100" baseline="0"/>
            <a:t> B1</a:t>
          </a:r>
          <a:endParaRPr lang="de-DE" sz="1100"/>
        </a:p>
      </xdr:txBody>
    </xdr:sp>
    <xdr:clientData/>
  </xdr:twoCellAnchor>
  <xdr:twoCellAnchor>
    <xdr:from>
      <xdr:col>4</xdr:col>
      <xdr:colOff>672703</xdr:colOff>
      <xdr:row>7</xdr:row>
      <xdr:rowOff>166688</xdr:rowOff>
    </xdr:from>
    <xdr:to>
      <xdr:col>6</xdr:col>
      <xdr:colOff>41672</xdr:colOff>
      <xdr:row>9</xdr:row>
      <xdr:rowOff>5954</xdr:rowOff>
    </xdr:to>
    <xdr:sp macro="" textlink="">
      <xdr:nvSpPr>
        <xdr:cNvPr id="16" name="Textfeld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3720703" y="1747838"/>
          <a:ext cx="892969" cy="22026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/>
            <a:t>Exit Dom</a:t>
          </a:r>
          <a:r>
            <a:rPr lang="de-DE" sz="1100" baseline="0"/>
            <a:t> B2</a:t>
          </a:r>
          <a:endParaRPr lang="de-DE" sz="1100"/>
        </a:p>
      </xdr:txBody>
    </xdr:sp>
    <xdr:clientData/>
  </xdr:twoCellAnchor>
  <xdr:twoCellAnchor>
    <xdr:from>
      <xdr:col>4</xdr:col>
      <xdr:colOff>345281</xdr:colOff>
      <xdr:row>3</xdr:row>
      <xdr:rowOff>89297</xdr:rowOff>
    </xdr:from>
    <xdr:to>
      <xdr:col>5</xdr:col>
      <xdr:colOff>476250</xdr:colOff>
      <xdr:row>4</xdr:row>
      <xdr:rowOff>119063</xdr:rowOff>
    </xdr:to>
    <xdr:sp macro="" textlink="">
      <xdr:nvSpPr>
        <xdr:cNvPr id="17" name="Textfeld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3393281" y="908447"/>
          <a:ext cx="892969" cy="22026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/>
            <a:t>Exit </a:t>
          </a:r>
          <a:r>
            <a:rPr lang="de-DE" sz="1100" baseline="0"/>
            <a:t>B3</a:t>
          </a:r>
          <a:endParaRPr lang="de-DE" sz="1100"/>
        </a:p>
      </xdr:txBody>
    </xdr:sp>
    <xdr:clientData/>
  </xdr:twoCellAnchor>
  <xdr:twoCellAnchor>
    <xdr:from>
      <xdr:col>3</xdr:col>
      <xdr:colOff>77391</xdr:colOff>
      <xdr:row>3</xdr:row>
      <xdr:rowOff>89297</xdr:rowOff>
    </xdr:from>
    <xdr:to>
      <xdr:col>4</xdr:col>
      <xdr:colOff>208360</xdr:colOff>
      <xdr:row>4</xdr:row>
      <xdr:rowOff>119063</xdr:rowOff>
    </xdr:to>
    <xdr:sp macro="" textlink="">
      <xdr:nvSpPr>
        <xdr:cNvPr id="18" name="Textfeld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2363391" y="908447"/>
          <a:ext cx="892969" cy="22026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aseline="0"/>
            <a:t>Entry A1</a:t>
          </a:r>
          <a:endParaRPr lang="de-DE" sz="1100"/>
        </a:p>
      </xdr:txBody>
    </xdr:sp>
    <xdr:clientData/>
  </xdr:twoCellAnchor>
  <xdr:twoCellAnchor>
    <xdr:from>
      <xdr:col>0</xdr:col>
      <xdr:colOff>321470</xdr:colOff>
      <xdr:row>9</xdr:row>
      <xdr:rowOff>130969</xdr:rowOff>
    </xdr:from>
    <xdr:to>
      <xdr:col>1</xdr:col>
      <xdr:colOff>452439</xdr:colOff>
      <xdr:row>10</xdr:row>
      <xdr:rowOff>160735</xdr:rowOff>
    </xdr:to>
    <xdr:sp macro="" textlink="">
      <xdr:nvSpPr>
        <xdr:cNvPr id="19" name="Textfeld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321470" y="2093119"/>
          <a:ext cx="892969" cy="22026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/>
            <a:t>Exit</a:t>
          </a:r>
          <a:r>
            <a:rPr lang="de-DE" sz="1100" baseline="0"/>
            <a:t> A4</a:t>
          </a:r>
          <a:endParaRPr lang="de-DE" sz="1100"/>
        </a:p>
      </xdr:txBody>
    </xdr:sp>
    <xdr:clientData/>
  </xdr:twoCellAnchor>
  <xdr:twoCellAnchor>
    <xdr:from>
      <xdr:col>1</xdr:col>
      <xdr:colOff>232172</xdr:colOff>
      <xdr:row>1</xdr:row>
      <xdr:rowOff>178593</xdr:rowOff>
    </xdr:from>
    <xdr:to>
      <xdr:col>2</xdr:col>
      <xdr:colOff>314739</xdr:colOff>
      <xdr:row>2</xdr:row>
      <xdr:rowOff>231912</xdr:rowOff>
    </xdr:to>
    <xdr:sp macro="" textlink="">
      <xdr:nvSpPr>
        <xdr:cNvPr id="20" name="Textfeld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>
          <a:off x="994172" y="426243"/>
          <a:ext cx="844567" cy="243819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aseline="0"/>
            <a:t>Entry A2</a:t>
          </a:r>
          <a:endParaRPr lang="de-DE" sz="1100"/>
        </a:p>
      </xdr:txBody>
    </xdr:sp>
    <xdr:clientData/>
  </xdr:twoCellAnchor>
  <xdr:twoCellAnchor>
    <xdr:from>
      <xdr:col>2</xdr:col>
      <xdr:colOff>613949</xdr:colOff>
      <xdr:row>9</xdr:row>
      <xdr:rowOff>93956</xdr:rowOff>
    </xdr:from>
    <xdr:to>
      <xdr:col>3</xdr:col>
      <xdr:colOff>744918</xdr:colOff>
      <xdr:row>10</xdr:row>
      <xdr:rowOff>123722</xdr:rowOff>
    </xdr:to>
    <xdr:sp macro="" textlink="">
      <xdr:nvSpPr>
        <xdr:cNvPr id="21" name="Textfeld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2137949" y="2056106"/>
          <a:ext cx="892969" cy="22026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aseline="0"/>
            <a:t>Exit Dom A3</a:t>
          </a:r>
          <a:endParaRPr lang="de-DE" sz="1100"/>
        </a:p>
      </xdr:txBody>
    </xdr:sp>
    <xdr:clientData/>
  </xdr:twoCellAnchor>
  <xdr:twoCellAnchor>
    <xdr:from>
      <xdr:col>0</xdr:col>
      <xdr:colOff>684152</xdr:colOff>
      <xdr:row>1</xdr:row>
      <xdr:rowOff>22897</xdr:rowOff>
    </xdr:from>
    <xdr:to>
      <xdr:col>1</xdr:col>
      <xdr:colOff>94793</xdr:colOff>
      <xdr:row>1</xdr:row>
      <xdr:rowOff>195538</xdr:rowOff>
    </xdr:to>
    <xdr:sp macro="" textlink="">
      <xdr:nvSpPr>
        <xdr:cNvPr id="22" name="Ellipse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684152" y="270547"/>
          <a:ext cx="172641" cy="163116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247649</xdr:colOff>
      <xdr:row>23</xdr:row>
      <xdr:rowOff>114300</xdr:rowOff>
    </xdr:from>
    <xdr:to>
      <xdr:col>8</xdr:col>
      <xdr:colOff>295274</xdr:colOff>
      <xdr:row>34</xdr:row>
      <xdr:rowOff>152400</xdr:rowOff>
    </xdr:to>
    <xdr:sp macro="" textlink="">
      <xdr:nvSpPr>
        <xdr:cNvPr id="23" name="Abgerundetes Rechtec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247649" y="5000625"/>
          <a:ext cx="6400800" cy="2343150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ctr"/>
          <a:r>
            <a:rPr lang="de-DE" sz="1100" b="1">
              <a:solidFill>
                <a:schemeClr val="accent4">
                  <a:lumMod val="50000"/>
                </a:schemeClr>
              </a:solidFill>
            </a:rPr>
            <a:t>TSO A + TSO B</a:t>
          </a:r>
        </a:p>
      </xdr:txBody>
    </xdr:sp>
    <xdr:clientData/>
  </xdr:twoCellAnchor>
  <xdr:twoCellAnchor>
    <xdr:from>
      <xdr:col>4</xdr:col>
      <xdr:colOff>273326</xdr:colOff>
      <xdr:row>27</xdr:row>
      <xdr:rowOff>35719</xdr:rowOff>
    </xdr:from>
    <xdr:to>
      <xdr:col>8</xdr:col>
      <xdr:colOff>279797</xdr:colOff>
      <xdr:row>27</xdr:row>
      <xdr:rowOff>49696</xdr:rowOff>
    </xdr:to>
    <xdr:cxnSp macro="">
      <xdr:nvCxnSpPr>
        <xdr:cNvPr id="24" name="Gerade Verbindung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CxnSpPr/>
      </xdr:nvCxnSpPr>
      <xdr:spPr>
        <a:xfrm flipV="1">
          <a:off x="3321326" y="5703094"/>
          <a:ext cx="3311646" cy="13977"/>
        </a:xfrm>
        <a:prstGeom prst="line">
          <a:avLst/>
        </a:prstGeom>
        <a:ln w="38100"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363141</xdr:colOff>
      <xdr:row>27</xdr:row>
      <xdr:rowOff>53578</xdr:rowOff>
    </xdr:from>
    <xdr:to>
      <xdr:col>5</xdr:col>
      <xdr:colOff>369094</xdr:colOff>
      <xdr:row>29</xdr:row>
      <xdr:rowOff>41672</xdr:rowOff>
    </xdr:to>
    <xdr:cxnSp macro="">
      <xdr:nvCxnSpPr>
        <xdr:cNvPr id="25" name="Gerade Verbindung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CxnSpPr/>
      </xdr:nvCxnSpPr>
      <xdr:spPr>
        <a:xfrm flipH="1">
          <a:off x="4173141" y="5720953"/>
          <a:ext cx="5953" cy="559594"/>
        </a:xfrm>
        <a:prstGeom prst="line">
          <a:avLst/>
        </a:prstGeom>
        <a:ln w="38100"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244078</xdr:colOff>
      <xdr:row>27</xdr:row>
      <xdr:rowOff>53580</xdr:rowOff>
    </xdr:from>
    <xdr:to>
      <xdr:col>4</xdr:col>
      <xdr:colOff>250031</xdr:colOff>
      <xdr:row>31</xdr:row>
      <xdr:rowOff>0</xdr:rowOff>
    </xdr:to>
    <xdr:cxnSp macro="">
      <xdr:nvCxnSpPr>
        <xdr:cNvPr id="26" name="Gerade Verbindung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CxnSpPr/>
      </xdr:nvCxnSpPr>
      <xdr:spPr>
        <a:xfrm flipV="1">
          <a:off x="244078" y="5720955"/>
          <a:ext cx="3053953" cy="898920"/>
        </a:xfrm>
        <a:prstGeom prst="line">
          <a:avLst/>
        </a:prstGeom>
        <a:ln w="3810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11906</xdr:colOff>
      <xdr:row>23</xdr:row>
      <xdr:rowOff>119064</xdr:rowOff>
    </xdr:from>
    <xdr:to>
      <xdr:col>1</xdr:col>
      <xdr:colOff>515471</xdr:colOff>
      <xdr:row>29</xdr:row>
      <xdr:rowOff>100853</xdr:rowOff>
    </xdr:to>
    <xdr:cxnSp macro="">
      <xdr:nvCxnSpPr>
        <xdr:cNvPr id="27" name="Gerade Verbindung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CxnSpPr/>
      </xdr:nvCxnSpPr>
      <xdr:spPr>
        <a:xfrm flipH="1" flipV="1">
          <a:off x="773906" y="5005389"/>
          <a:ext cx="503565" cy="1334339"/>
        </a:xfrm>
        <a:prstGeom prst="line">
          <a:avLst/>
        </a:prstGeom>
        <a:ln w="3810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336176</xdr:colOff>
      <xdr:row>28</xdr:row>
      <xdr:rowOff>100853</xdr:rowOff>
    </xdr:from>
    <xdr:to>
      <xdr:col>2</xdr:col>
      <xdr:colOff>588065</xdr:colOff>
      <xdr:row>30</xdr:row>
      <xdr:rowOff>132522</xdr:rowOff>
    </xdr:to>
    <xdr:cxnSp macro="">
      <xdr:nvCxnSpPr>
        <xdr:cNvPr id="28" name="Gerade Verbindung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CxnSpPr/>
      </xdr:nvCxnSpPr>
      <xdr:spPr>
        <a:xfrm>
          <a:off x="1860176" y="6149228"/>
          <a:ext cx="251889" cy="412669"/>
        </a:xfrm>
        <a:prstGeom prst="line">
          <a:avLst/>
        </a:prstGeom>
        <a:ln w="3810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196454</xdr:colOff>
      <xdr:row>26</xdr:row>
      <xdr:rowOff>136922</xdr:rowOff>
    </xdr:from>
    <xdr:to>
      <xdr:col>8</xdr:col>
      <xdr:colOff>369095</xdr:colOff>
      <xdr:row>27</xdr:row>
      <xdr:rowOff>119063</xdr:rowOff>
    </xdr:to>
    <xdr:sp macro="" textlink="">
      <xdr:nvSpPr>
        <xdr:cNvPr id="29" name="Ellipse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6549629" y="5613797"/>
          <a:ext cx="172641" cy="172641"/>
        </a:xfrm>
        <a:prstGeom prst="ellipse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5</xdr:col>
      <xdr:colOff>273844</xdr:colOff>
      <xdr:row>28</xdr:row>
      <xdr:rowOff>142875</xdr:rowOff>
    </xdr:from>
    <xdr:to>
      <xdr:col>5</xdr:col>
      <xdr:colOff>446485</xdr:colOff>
      <xdr:row>29</xdr:row>
      <xdr:rowOff>125016</xdr:rowOff>
    </xdr:to>
    <xdr:sp macro="" textlink="">
      <xdr:nvSpPr>
        <xdr:cNvPr id="30" name="Ellipse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4083844" y="6191250"/>
          <a:ext cx="172641" cy="172641"/>
        </a:xfrm>
        <a:prstGeom prst="ellipse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506793</xdr:colOff>
      <xdr:row>30</xdr:row>
      <xdr:rowOff>67815</xdr:rowOff>
    </xdr:from>
    <xdr:to>
      <xdr:col>2</xdr:col>
      <xdr:colOff>679434</xdr:colOff>
      <xdr:row>31</xdr:row>
      <xdr:rowOff>49956</xdr:rowOff>
    </xdr:to>
    <xdr:sp macro="" textlink="">
      <xdr:nvSpPr>
        <xdr:cNvPr id="31" name="Ellips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>
        <a:xfrm>
          <a:off x="2030793" y="6497190"/>
          <a:ext cx="172641" cy="172641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178594</xdr:colOff>
      <xdr:row>30</xdr:row>
      <xdr:rowOff>107157</xdr:rowOff>
    </xdr:from>
    <xdr:to>
      <xdr:col>0</xdr:col>
      <xdr:colOff>351235</xdr:colOff>
      <xdr:row>31</xdr:row>
      <xdr:rowOff>89298</xdr:rowOff>
    </xdr:to>
    <xdr:sp macro="" textlink="">
      <xdr:nvSpPr>
        <xdr:cNvPr id="32" name="Ellipse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>
        <a:xfrm>
          <a:off x="178594" y="6536532"/>
          <a:ext cx="172641" cy="172641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4</xdr:col>
      <xdr:colOff>125016</xdr:colOff>
      <xdr:row>26</xdr:row>
      <xdr:rowOff>154782</xdr:rowOff>
    </xdr:from>
    <xdr:to>
      <xdr:col>4</xdr:col>
      <xdr:colOff>297657</xdr:colOff>
      <xdr:row>27</xdr:row>
      <xdr:rowOff>136923</xdr:rowOff>
    </xdr:to>
    <xdr:sp macro="" textlink="">
      <xdr:nvSpPr>
        <xdr:cNvPr id="33" name="Ellipse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/>
      </xdr:nvSpPr>
      <xdr:spPr>
        <a:xfrm>
          <a:off x="3173016" y="5631657"/>
          <a:ext cx="172641" cy="172641"/>
        </a:xfrm>
        <a:prstGeom prst="ellipse">
          <a:avLst/>
        </a:prstGeom>
        <a:ln/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8</xdr:col>
      <xdr:colOff>392906</xdr:colOff>
      <xdr:row>26</xdr:row>
      <xdr:rowOff>101202</xdr:rowOff>
    </xdr:from>
    <xdr:to>
      <xdr:col>9</xdr:col>
      <xdr:colOff>339328</xdr:colOff>
      <xdr:row>27</xdr:row>
      <xdr:rowOff>160734</xdr:rowOff>
    </xdr:to>
    <xdr:sp macro="" textlink="">
      <xdr:nvSpPr>
        <xdr:cNvPr id="34" name="Textfeld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>
          <a:off x="6746081" y="5578077"/>
          <a:ext cx="708422" cy="25003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/>
            <a:t>Entry</a:t>
          </a:r>
          <a:r>
            <a:rPr lang="de-DE" sz="1100" baseline="0"/>
            <a:t> B1</a:t>
          </a:r>
          <a:endParaRPr lang="de-DE" sz="1100"/>
        </a:p>
      </xdr:txBody>
    </xdr:sp>
    <xdr:clientData/>
  </xdr:twoCellAnchor>
  <xdr:twoCellAnchor>
    <xdr:from>
      <xdr:col>4</xdr:col>
      <xdr:colOff>672703</xdr:colOff>
      <xdr:row>29</xdr:row>
      <xdr:rowOff>166688</xdr:rowOff>
    </xdr:from>
    <xdr:to>
      <xdr:col>6</xdr:col>
      <xdr:colOff>41672</xdr:colOff>
      <xdr:row>31</xdr:row>
      <xdr:rowOff>5954</xdr:rowOff>
    </xdr:to>
    <xdr:sp macro="" textlink="">
      <xdr:nvSpPr>
        <xdr:cNvPr id="35" name="Textfeld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>
          <a:off x="3720703" y="6405563"/>
          <a:ext cx="892969" cy="22026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/>
            <a:t>Exit Dom</a:t>
          </a:r>
          <a:r>
            <a:rPr lang="de-DE" sz="1100" baseline="0"/>
            <a:t> B2</a:t>
          </a:r>
          <a:endParaRPr lang="de-DE" sz="1100"/>
        </a:p>
      </xdr:txBody>
    </xdr:sp>
    <xdr:clientData/>
  </xdr:twoCellAnchor>
  <xdr:twoCellAnchor>
    <xdr:from>
      <xdr:col>0</xdr:col>
      <xdr:colOff>321470</xdr:colOff>
      <xdr:row>31</xdr:row>
      <xdr:rowOff>130969</xdr:rowOff>
    </xdr:from>
    <xdr:to>
      <xdr:col>1</xdr:col>
      <xdr:colOff>452439</xdr:colOff>
      <xdr:row>32</xdr:row>
      <xdr:rowOff>160735</xdr:rowOff>
    </xdr:to>
    <xdr:sp macro="" textlink="">
      <xdr:nvSpPr>
        <xdr:cNvPr id="36" name="Textfeld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321470" y="6750844"/>
          <a:ext cx="892969" cy="22026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/>
            <a:t>Exit</a:t>
          </a:r>
          <a:r>
            <a:rPr lang="de-DE" sz="1100" baseline="0"/>
            <a:t> A4</a:t>
          </a:r>
          <a:endParaRPr lang="de-DE" sz="1100"/>
        </a:p>
      </xdr:txBody>
    </xdr:sp>
    <xdr:clientData/>
  </xdr:twoCellAnchor>
  <xdr:twoCellAnchor>
    <xdr:from>
      <xdr:col>1</xdr:col>
      <xdr:colOff>232172</xdr:colOff>
      <xdr:row>23</xdr:row>
      <xdr:rowOff>178593</xdr:rowOff>
    </xdr:from>
    <xdr:to>
      <xdr:col>2</xdr:col>
      <xdr:colOff>314739</xdr:colOff>
      <xdr:row>24</xdr:row>
      <xdr:rowOff>231912</xdr:rowOff>
    </xdr:to>
    <xdr:sp macro="" textlink="">
      <xdr:nvSpPr>
        <xdr:cNvPr id="37" name="Textfeld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994172" y="5064918"/>
          <a:ext cx="844567" cy="215244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aseline="0"/>
            <a:t>Entry A2</a:t>
          </a:r>
          <a:endParaRPr lang="de-DE" sz="1100"/>
        </a:p>
      </xdr:txBody>
    </xdr:sp>
    <xdr:clientData/>
  </xdr:twoCellAnchor>
  <xdr:twoCellAnchor>
    <xdr:from>
      <xdr:col>2</xdr:col>
      <xdr:colOff>613949</xdr:colOff>
      <xdr:row>31</xdr:row>
      <xdr:rowOff>93956</xdr:rowOff>
    </xdr:from>
    <xdr:to>
      <xdr:col>3</xdr:col>
      <xdr:colOff>744918</xdr:colOff>
      <xdr:row>32</xdr:row>
      <xdr:rowOff>123722</xdr:rowOff>
    </xdr:to>
    <xdr:sp macro="" textlink="">
      <xdr:nvSpPr>
        <xdr:cNvPr id="38" name="Textfeld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2137949" y="6713831"/>
          <a:ext cx="892969" cy="22026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aseline="0"/>
            <a:t>Exit Dom A3</a:t>
          </a:r>
          <a:endParaRPr lang="de-DE" sz="1100"/>
        </a:p>
      </xdr:txBody>
    </xdr:sp>
    <xdr:clientData/>
  </xdr:twoCellAnchor>
  <xdr:twoCellAnchor>
    <xdr:from>
      <xdr:col>0</xdr:col>
      <xdr:colOff>684152</xdr:colOff>
      <xdr:row>23</xdr:row>
      <xdr:rowOff>22897</xdr:rowOff>
    </xdr:from>
    <xdr:to>
      <xdr:col>1</xdr:col>
      <xdr:colOff>94793</xdr:colOff>
      <xdr:row>23</xdr:row>
      <xdr:rowOff>195538</xdr:rowOff>
    </xdr:to>
    <xdr:sp macro="" textlink="">
      <xdr:nvSpPr>
        <xdr:cNvPr id="39" name="Ellipse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/>
      </xdr:nvSpPr>
      <xdr:spPr>
        <a:xfrm>
          <a:off x="684152" y="4909222"/>
          <a:ext cx="172641" cy="163116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</xdr:col>
      <xdr:colOff>472678</xdr:colOff>
      <xdr:row>23</xdr:row>
      <xdr:rowOff>180975</xdr:rowOff>
    </xdr:from>
    <xdr:to>
      <xdr:col>4</xdr:col>
      <xdr:colOff>603647</xdr:colOff>
      <xdr:row>26</xdr:row>
      <xdr:rowOff>85725</xdr:rowOff>
    </xdr:to>
    <xdr:sp macro="" textlink="">
      <xdr:nvSpPr>
        <xdr:cNvPr id="40" name="Textfeld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2758678" y="5067300"/>
          <a:ext cx="892969" cy="495300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050"/>
            <a:t>Connection</a:t>
          </a:r>
          <a:r>
            <a:rPr lang="de-DE" sz="1050" baseline="0"/>
            <a:t> </a:t>
          </a:r>
          <a:r>
            <a:rPr lang="de-DE" sz="1050"/>
            <a:t> Point AB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1</xdr:row>
      <xdr:rowOff>114300</xdr:rowOff>
    </xdr:from>
    <xdr:to>
      <xdr:col>4</xdr:col>
      <xdr:colOff>266700</xdr:colOff>
      <xdr:row>12</xdr:row>
      <xdr:rowOff>152400</xdr:rowOff>
    </xdr:to>
    <xdr:sp macro="" textlink="">
      <xdr:nvSpPr>
        <xdr:cNvPr id="2" name="Abgerundetes Rechteck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247650" y="361950"/>
          <a:ext cx="3067050" cy="2333625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ctr"/>
          <a:r>
            <a:rPr lang="de-DE" sz="1100" b="1">
              <a:solidFill>
                <a:schemeClr val="accent1">
                  <a:lumMod val="75000"/>
                </a:schemeClr>
              </a:solidFill>
            </a:rPr>
            <a:t>TSO A</a:t>
          </a:r>
        </a:p>
      </xdr:txBody>
    </xdr:sp>
    <xdr:clientData/>
  </xdr:twoCellAnchor>
  <xdr:twoCellAnchor>
    <xdr:from>
      <xdr:col>4</xdr:col>
      <xdr:colOff>266700</xdr:colOff>
      <xdr:row>1</xdr:row>
      <xdr:rowOff>133350</xdr:rowOff>
    </xdr:from>
    <xdr:to>
      <xdr:col>8</xdr:col>
      <xdr:colOff>285750</xdr:colOff>
      <xdr:row>12</xdr:row>
      <xdr:rowOff>171450</xdr:rowOff>
    </xdr:to>
    <xdr:sp macro="" textlink="">
      <xdr:nvSpPr>
        <xdr:cNvPr id="3" name="Abgerundetes Rechteck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3314700" y="381000"/>
          <a:ext cx="3067050" cy="233362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ctr"/>
          <a:r>
            <a:rPr lang="de-DE" sz="1100" b="1">
              <a:solidFill>
                <a:schemeClr val="accent6">
                  <a:lumMod val="75000"/>
                </a:schemeClr>
              </a:solidFill>
            </a:rPr>
            <a:t>TSO B</a:t>
          </a:r>
        </a:p>
      </xdr:txBody>
    </xdr:sp>
    <xdr:clientData/>
  </xdr:twoCellAnchor>
  <xdr:twoCellAnchor>
    <xdr:from>
      <xdr:col>4</xdr:col>
      <xdr:colOff>273326</xdr:colOff>
      <xdr:row>5</xdr:row>
      <xdr:rowOff>35719</xdr:rowOff>
    </xdr:from>
    <xdr:to>
      <xdr:col>8</xdr:col>
      <xdr:colOff>279797</xdr:colOff>
      <xdr:row>5</xdr:row>
      <xdr:rowOff>49696</xdr:rowOff>
    </xdr:to>
    <xdr:cxnSp macro="">
      <xdr:nvCxnSpPr>
        <xdr:cNvPr id="4" name="Gerade Verbindung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CxnSpPr/>
      </xdr:nvCxnSpPr>
      <xdr:spPr>
        <a:xfrm flipV="1">
          <a:off x="3321326" y="1235869"/>
          <a:ext cx="3054471" cy="13977"/>
        </a:xfrm>
        <a:prstGeom prst="line">
          <a:avLst/>
        </a:prstGeom>
        <a:ln w="38100"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363141</xdr:colOff>
      <xdr:row>5</xdr:row>
      <xdr:rowOff>53578</xdr:rowOff>
    </xdr:from>
    <xdr:to>
      <xdr:col>5</xdr:col>
      <xdr:colOff>369094</xdr:colOff>
      <xdr:row>7</xdr:row>
      <xdr:rowOff>41672</xdr:rowOff>
    </xdr:to>
    <xdr:cxnSp macro="">
      <xdr:nvCxnSpPr>
        <xdr:cNvPr id="5" name="Gerade Verbindung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CxnSpPr/>
      </xdr:nvCxnSpPr>
      <xdr:spPr>
        <a:xfrm flipH="1">
          <a:off x="4173141" y="1253728"/>
          <a:ext cx="5953" cy="369094"/>
        </a:xfrm>
        <a:prstGeom prst="line">
          <a:avLst/>
        </a:prstGeom>
        <a:ln w="38100"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244078</xdr:colOff>
      <xdr:row>5</xdr:row>
      <xdr:rowOff>53580</xdr:rowOff>
    </xdr:from>
    <xdr:to>
      <xdr:col>4</xdr:col>
      <xdr:colOff>250031</xdr:colOff>
      <xdr:row>9</xdr:row>
      <xdr:rowOff>0</xdr:rowOff>
    </xdr:to>
    <xdr:cxnSp macro="">
      <xdr:nvCxnSpPr>
        <xdr:cNvPr id="6" name="Gerade Verbindung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CxnSpPr/>
      </xdr:nvCxnSpPr>
      <xdr:spPr>
        <a:xfrm flipV="1">
          <a:off x="244078" y="1253730"/>
          <a:ext cx="3053953" cy="708420"/>
        </a:xfrm>
        <a:prstGeom prst="line">
          <a:avLst/>
        </a:prstGeom>
        <a:ln w="3810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11906</xdr:colOff>
      <xdr:row>1</xdr:row>
      <xdr:rowOff>119064</xdr:rowOff>
    </xdr:from>
    <xdr:to>
      <xdr:col>1</xdr:col>
      <xdr:colOff>517922</xdr:colOff>
      <xdr:row>7</xdr:row>
      <xdr:rowOff>142875</xdr:rowOff>
    </xdr:to>
    <xdr:cxnSp macro="">
      <xdr:nvCxnSpPr>
        <xdr:cNvPr id="7" name="Gerade Verbindung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CxnSpPr/>
      </xdr:nvCxnSpPr>
      <xdr:spPr>
        <a:xfrm flipH="1" flipV="1">
          <a:off x="773906" y="366714"/>
          <a:ext cx="506016" cy="1357311"/>
        </a:xfrm>
        <a:prstGeom prst="line">
          <a:avLst/>
        </a:prstGeom>
        <a:ln w="3810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386953</xdr:colOff>
      <xdr:row>7</xdr:row>
      <xdr:rowOff>5953</xdr:rowOff>
    </xdr:from>
    <xdr:to>
      <xdr:col>2</xdr:col>
      <xdr:colOff>571500</xdr:colOff>
      <xdr:row>8</xdr:row>
      <xdr:rowOff>85725</xdr:rowOff>
    </xdr:to>
    <xdr:cxnSp macro="">
      <xdr:nvCxnSpPr>
        <xdr:cNvPr id="8" name="Gerade Verbindung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CxnSpPr/>
      </xdr:nvCxnSpPr>
      <xdr:spPr>
        <a:xfrm>
          <a:off x="1910953" y="1387078"/>
          <a:ext cx="184547" cy="270272"/>
        </a:xfrm>
        <a:prstGeom prst="line">
          <a:avLst/>
        </a:prstGeom>
        <a:ln w="3810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196454</xdr:colOff>
      <xdr:row>4</xdr:row>
      <xdr:rowOff>136922</xdr:rowOff>
    </xdr:from>
    <xdr:to>
      <xdr:col>8</xdr:col>
      <xdr:colOff>369095</xdr:colOff>
      <xdr:row>5</xdr:row>
      <xdr:rowOff>119063</xdr:rowOff>
    </xdr:to>
    <xdr:sp macro="" textlink="">
      <xdr:nvSpPr>
        <xdr:cNvPr id="9" name="Ellips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6292454" y="1146572"/>
          <a:ext cx="172641" cy="172641"/>
        </a:xfrm>
        <a:prstGeom prst="ellipse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4</xdr:col>
      <xdr:colOff>178594</xdr:colOff>
      <xdr:row>4</xdr:row>
      <xdr:rowOff>148829</xdr:rowOff>
    </xdr:from>
    <xdr:to>
      <xdr:col>4</xdr:col>
      <xdr:colOff>351235</xdr:colOff>
      <xdr:row>5</xdr:row>
      <xdr:rowOff>130970</xdr:rowOff>
    </xdr:to>
    <xdr:sp macro="" textlink="">
      <xdr:nvSpPr>
        <xdr:cNvPr id="10" name="Ellips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3226594" y="1158479"/>
          <a:ext cx="172641" cy="172641"/>
        </a:xfrm>
        <a:prstGeom prst="ellipse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5</xdr:col>
      <xdr:colOff>273844</xdr:colOff>
      <xdr:row>6</xdr:row>
      <xdr:rowOff>142875</xdr:rowOff>
    </xdr:from>
    <xdr:to>
      <xdr:col>5</xdr:col>
      <xdr:colOff>446485</xdr:colOff>
      <xdr:row>7</xdr:row>
      <xdr:rowOff>125016</xdr:rowOff>
    </xdr:to>
    <xdr:sp macro="" textlink="">
      <xdr:nvSpPr>
        <xdr:cNvPr id="11" name="Ellips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4083844" y="1533525"/>
          <a:ext cx="172641" cy="172641"/>
        </a:xfrm>
        <a:prstGeom prst="ellipse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507207</xdr:colOff>
      <xdr:row>8</xdr:row>
      <xdr:rowOff>2382</xdr:rowOff>
    </xdr:from>
    <xdr:to>
      <xdr:col>2</xdr:col>
      <xdr:colOff>679848</xdr:colOff>
      <xdr:row>8</xdr:row>
      <xdr:rowOff>175023</xdr:rowOff>
    </xdr:to>
    <xdr:sp macro="" textlink="">
      <xdr:nvSpPr>
        <xdr:cNvPr id="12" name="Ellips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2031207" y="1574007"/>
          <a:ext cx="172641" cy="172641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178594</xdr:colOff>
      <xdr:row>8</xdr:row>
      <xdr:rowOff>107157</xdr:rowOff>
    </xdr:from>
    <xdr:to>
      <xdr:col>0</xdr:col>
      <xdr:colOff>351235</xdr:colOff>
      <xdr:row>9</xdr:row>
      <xdr:rowOff>89298</xdr:rowOff>
    </xdr:to>
    <xdr:sp macro="" textlink="">
      <xdr:nvSpPr>
        <xdr:cNvPr id="13" name="Ellips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178594" y="1878807"/>
          <a:ext cx="172641" cy="172641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4</xdr:col>
      <xdr:colOff>125016</xdr:colOff>
      <xdr:row>4</xdr:row>
      <xdr:rowOff>154782</xdr:rowOff>
    </xdr:from>
    <xdr:to>
      <xdr:col>4</xdr:col>
      <xdr:colOff>297657</xdr:colOff>
      <xdr:row>5</xdr:row>
      <xdr:rowOff>136923</xdr:rowOff>
    </xdr:to>
    <xdr:sp macro="" textlink="">
      <xdr:nvSpPr>
        <xdr:cNvPr id="14" name="Ellips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3173016" y="1164432"/>
          <a:ext cx="172641" cy="172641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8</xdr:col>
      <xdr:colOff>392906</xdr:colOff>
      <xdr:row>4</xdr:row>
      <xdr:rowOff>101202</xdr:rowOff>
    </xdr:from>
    <xdr:to>
      <xdr:col>9</xdr:col>
      <xdr:colOff>339328</xdr:colOff>
      <xdr:row>5</xdr:row>
      <xdr:rowOff>160734</xdr:rowOff>
    </xdr:to>
    <xdr:sp macro="" textlink="">
      <xdr:nvSpPr>
        <xdr:cNvPr id="15" name="Textfeld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6488906" y="1110852"/>
          <a:ext cx="708422" cy="2500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/>
            <a:t>Entry</a:t>
          </a:r>
          <a:r>
            <a:rPr lang="de-DE" sz="1100" baseline="0"/>
            <a:t> B1</a:t>
          </a:r>
          <a:endParaRPr lang="de-DE" sz="1100"/>
        </a:p>
      </xdr:txBody>
    </xdr:sp>
    <xdr:clientData/>
  </xdr:twoCellAnchor>
  <xdr:twoCellAnchor>
    <xdr:from>
      <xdr:col>4</xdr:col>
      <xdr:colOff>672703</xdr:colOff>
      <xdr:row>7</xdr:row>
      <xdr:rowOff>166688</xdr:rowOff>
    </xdr:from>
    <xdr:to>
      <xdr:col>6</xdr:col>
      <xdr:colOff>41672</xdr:colOff>
      <xdr:row>9</xdr:row>
      <xdr:rowOff>5954</xdr:rowOff>
    </xdr:to>
    <xdr:sp macro="" textlink="">
      <xdr:nvSpPr>
        <xdr:cNvPr id="16" name="Textfeld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/>
      </xdr:nvSpPr>
      <xdr:spPr>
        <a:xfrm>
          <a:off x="3720703" y="1747838"/>
          <a:ext cx="892969" cy="22026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/>
            <a:t>Exit Dom</a:t>
          </a:r>
          <a:r>
            <a:rPr lang="de-DE" sz="1100" baseline="0"/>
            <a:t> B2</a:t>
          </a:r>
          <a:endParaRPr lang="de-DE" sz="1100"/>
        </a:p>
      </xdr:txBody>
    </xdr:sp>
    <xdr:clientData/>
  </xdr:twoCellAnchor>
  <xdr:twoCellAnchor>
    <xdr:from>
      <xdr:col>4</xdr:col>
      <xdr:colOff>345281</xdr:colOff>
      <xdr:row>3</xdr:row>
      <xdr:rowOff>89297</xdr:rowOff>
    </xdr:from>
    <xdr:to>
      <xdr:col>5</xdr:col>
      <xdr:colOff>476250</xdr:colOff>
      <xdr:row>4</xdr:row>
      <xdr:rowOff>119063</xdr:rowOff>
    </xdr:to>
    <xdr:sp macro="" textlink="">
      <xdr:nvSpPr>
        <xdr:cNvPr id="17" name="Textfeld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3393281" y="908447"/>
          <a:ext cx="892969" cy="22026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/>
            <a:t>Exit </a:t>
          </a:r>
          <a:r>
            <a:rPr lang="de-DE" sz="1100" baseline="0"/>
            <a:t>B3</a:t>
          </a:r>
          <a:endParaRPr lang="de-DE" sz="1100"/>
        </a:p>
      </xdr:txBody>
    </xdr:sp>
    <xdr:clientData/>
  </xdr:twoCellAnchor>
  <xdr:twoCellAnchor>
    <xdr:from>
      <xdr:col>3</xdr:col>
      <xdr:colOff>77391</xdr:colOff>
      <xdr:row>3</xdr:row>
      <xdr:rowOff>89297</xdr:rowOff>
    </xdr:from>
    <xdr:to>
      <xdr:col>4</xdr:col>
      <xdr:colOff>208360</xdr:colOff>
      <xdr:row>4</xdr:row>
      <xdr:rowOff>119063</xdr:rowOff>
    </xdr:to>
    <xdr:sp macro="" textlink="">
      <xdr:nvSpPr>
        <xdr:cNvPr id="18" name="Textfeld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>
          <a:off x="2363391" y="908447"/>
          <a:ext cx="892969" cy="22026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aseline="0"/>
            <a:t>Entry A1</a:t>
          </a:r>
          <a:endParaRPr lang="de-DE" sz="1100"/>
        </a:p>
      </xdr:txBody>
    </xdr:sp>
    <xdr:clientData/>
  </xdr:twoCellAnchor>
  <xdr:twoCellAnchor>
    <xdr:from>
      <xdr:col>0</xdr:col>
      <xdr:colOff>321470</xdr:colOff>
      <xdr:row>9</xdr:row>
      <xdr:rowOff>130969</xdr:rowOff>
    </xdr:from>
    <xdr:to>
      <xdr:col>1</xdr:col>
      <xdr:colOff>452439</xdr:colOff>
      <xdr:row>10</xdr:row>
      <xdr:rowOff>160735</xdr:rowOff>
    </xdr:to>
    <xdr:sp macro="" textlink="">
      <xdr:nvSpPr>
        <xdr:cNvPr id="19" name="Textfeld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>
          <a:off x="321470" y="2093119"/>
          <a:ext cx="892969" cy="22026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/>
            <a:t>Exit</a:t>
          </a:r>
          <a:r>
            <a:rPr lang="de-DE" sz="1100" baseline="0"/>
            <a:t> A4</a:t>
          </a:r>
          <a:endParaRPr lang="de-DE" sz="1100"/>
        </a:p>
      </xdr:txBody>
    </xdr:sp>
    <xdr:clientData/>
  </xdr:twoCellAnchor>
  <xdr:twoCellAnchor>
    <xdr:from>
      <xdr:col>1</xdr:col>
      <xdr:colOff>232172</xdr:colOff>
      <xdr:row>1</xdr:row>
      <xdr:rowOff>178593</xdr:rowOff>
    </xdr:from>
    <xdr:to>
      <xdr:col>2</xdr:col>
      <xdr:colOff>314739</xdr:colOff>
      <xdr:row>2</xdr:row>
      <xdr:rowOff>231912</xdr:rowOff>
    </xdr:to>
    <xdr:sp macro="" textlink="">
      <xdr:nvSpPr>
        <xdr:cNvPr id="20" name="Textfeld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>
          <a:off x="994172" y="426243"/>
          <a:ext cx="844567" cy="243819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aseline="0"/>
            <a:t>Entry A2</a:t>
          </a:r>
          <a:endParaRPr lang="de-DE" sz="1100"/>
        </a:p>
      </xdr:txBody>
    </xdr:sp>
    <xdr:clientData/>
  </xdr:twoCellAnchor>
  <xdr:twoCellAnchor>
    <xdr:from>
      <xdr:col>2</xdr:col>
      <xdr:colOff>738188</xdr:colOff>
      <xdr:row>10</xdr:row>
      <xdr:rowOff>77390</xdr:rowOff>
    </xdr:from>
    <xdr:to>
      <xdr:col>4</xdr:col>
      <xdr:colOff>107157</xdr:colOff>
      <xdr:row>11</xdr:row>
      <xdr:rowOff>107156</xdr:rowOff>
    </xdr:to>
    <xdr:sp macro="" textlink="">
      <xdr:nvSpPr>
        <xdr:cNvPr id="21" name="Textfeld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>
          <a:off x="2262188" y="2230040"/>
          <a:ext cx="892969" cy="22026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aseline="0"/>
            <a:t>Exit Dom A3</a:t>
          </a:r>
          <a:endParaRPr lang="de-DE" sz="1100"/>
        </a:p>
      </xdr:txBody>
    </xdr:sp>
    <xdr:clientData/>
  </xdr:twoCellAnchor>
  <xdr:twoCellAnchor>
    <xdr:from>
      <xdr:col>0</xdr:col>
      <xdr:colOff>684152</xdr:colOff>
      <xdr:row>1</xdr:row>
      <xdr:rowOff>22897</xdr:rowOff>
    </xdr:from>
    <xdr:to>
      <xdr:col>1</xdr:col>
      <xdr:colOff>94793</xdr:colOff>
      <xdr:row>1</xdr:row>
      <xdr:rowOff>195538</xdr:rowOff>
    </xdr:to>
    <xdr:sp macro="" textlink="">
      <xdr:nvSpPr>
        <xdr:cNvPr id="22" name="Ellips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684152" y="270547"/>
          <a:ext cx="172641" cy="163116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6</xdr:col>
      <xdr:colOff>438150</xdr:colOff>
      <xdr:row>5</xdr:row>
      <xdr:rowOff>95250</xdr:rowOff>
    </xdr:from>
    <xdr:to>
      <xdr:col>7</xdr:col>
      <xdr:colOff>57150</xdr:colOff>
      <xdr:row>6</xdr:row>
      <xdr:rowOff>123825</xdr:rowOff>
    </xdr:to>
    <xdr:sp macro="" textlink="">
      <xdr:nvSpPr>
        <xdr:cNvPr id="23" name="Textfeld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>
          <a:off x="5010150" y="1095375"/>
          <a:ext cx="381000" cy="21907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800"/>
            <a:t>500</a:t>
          </a:r>
        </a:p>
      </xdr:txBody>
    </xdr:sp>
    <xdr:clientData/>
  </xdr:twoCellAnchor>
  <xdr:twoCellAnchor>
    <xdr:from>
      <xdr:col>4</xdr:col>
      <xdr:colOff>561975</xdr:colOff>
      <xdr:row>5</xdr:row>
      <xdr:rowOff>104775</xdr:rowOff>
    </xdr:from>
    <xdr:to>
      <xdr:col>5</xdr:col>
      <xdr:colOff>180975</xdr:colOff>
      <xdr:row>6</xdr:row>
      <xdr:rowOff>133350</xdr:rowOff>
    </xdr:to>
    <xdr:sp macro="" textlink="">
      <xdr:nvSpPr>
        <xdr:cNvPr id="24" name="Textfeld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>
          <a:off x="3609975" y="1104900"/>
          <a:ext cx="381000" cy="21907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800"/>
            <a:t>150</a:t>
          </a:r>
        </a:p>
      </xdr:txBody>
    </xdr:sp>
    <xdr:clientData/>
  </xdr:twoCellAnchor>
  <xdr:twoCellAnchor>
    <xdr:from>
      <xdr:col>5</xdr:col>
      <xdr:colOff>447675</xdr:colOff>
      <xdr:row>5</xdr:row>
      <xdr:rowOff>104775</xdr:rowOff>
    </xdr:from>
    <xdr:to>
      <xdr:col>6</xdr:col>
      <xdr:colOff>66675</xdr:colOff>
      <xdr:row>6</xdr:row>
      <xdr:rowOff>133350</xdr:rowOff>
    </xdr:to>
    <xdr:sp macro="" textlink="">
      <xdr:nvSpPr>
        <xdr:cNvPr id="25" name="Textfeld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>
          <a:off x="4257675" y="1104900"/>
          <a:ext cx="381000" cy="21907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800"/>
            <a:t>50</a:t>
          </a:r>
        </a:p>
      </xdr:txBody>
    </xdr:sp>
    <xdr:clientData/>
  </xdr:twoCellAnchor>
  <xdr:twoCellAnchor>
    <xdr:from>
      <xdr:col>3</xdr:col>
      <xdr:colOff>133350</xdr:colOff>
      <xdr:row>6</xdr:row>
      <xdr:rowOff>114300</xdr:rowOff>
    </xdr:from>
    <xdr:to>
      <xdr:col>3</xdr:col>
      <xdr:colOff>514350</xdr:colOff>
      <xdr:row>7</xdr:row>
      <xdr:rowOff>142875</xdr:rowOff>
    </xdr:to>
    <xdr:sp macro="" textlink="">
      <xdr:nvSpPr>
        <xdr:cNvPr id="26" name="Textfeld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>
          <a:off x="2419350" y="1304925"/>
          <a:ext cx="381000" cy="219075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800"/>
            <a:t>300</a:t>
          </a:r>
        </a:p>
      </xdr:txBody>
    </xdr:sp>
    <xdr:clientData/>
  </xdr:twoCellAnchor>
  <xdr:twoCellAnchor>
    <xdr:from>
      <xdr:col>1</xdr:col>
      <xdr:colOff>714375</xdr:colOff>
      <xdr:row>7</xdr:row>
      <xdr:rowOff>142875</xdr:rowOff>
    </xdr:from>
    <xdr:to>
      <xdr:col>2</xdr:col>
      <xdr:colOff>333375</xdr:colOff>
      <xdr:row>8</xdr:row>
      <xdr:rowOff>171450</xdr:rowOff>
    </xdr:to>
    <xdr:sp macro="" textlink="">
      <xdr:nvSpPr>
        <xdr:cNvPr id="27" name="Textfeld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>
          <a:off x="1476375" y="1524000"/>
          <a:ext cx="381000" cy="219075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800"/>
            <a:t>150</a:t>
          </a:r>
        </a:p>
      </xdr:txBody>
    </xdr:sp>
    <xdr:clientData/>
  </xdr:twoCellAnchor>
  <xdr:twoCellAnchor>
    <xdr:from>
      <xdr:col>2</xdr:col>
      <xdr:colOff>209550</xdr:colOff>
      <xdr:row>9</xdr:row>
      <xdr:rowOff>38100</xdr:rowOff>
    </xdr:from>
    <xdr:to>
      <xdr:col>2</xdr:col>
      <xdr:colOff>590550</xdr:colOff>
      <xdr:row>10</xdr:row>
      <xdr:rowOff>66675</xdr:rowOff>
    </xdr:to>
    <xdr:sp macro="" textlink="">
      <xdr:nvSpPr>
        <xdr:cNvPr id="28" name="Textfeld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/>
      </xdr:nvSpPr>
      <xdr:spPr>
        <a:xfrm>
          <a:off x="1733550" y="1800225"/>
          <a:ext cx="381000" cy="219075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800"/>
            <a:t>50</a:t>
          </a:r>
        </a:p>
      </xdr:txBody>
    </xdr:sp>
    <xdr:clientData/>
  </xdr:twoCellAnchor>
  <xdr:twoCellAnchor>
    <xdr:from>
      <xdr:col>0</xdr:col>
      <xdr:colOff>523875</xdr:colOff>
      <xdr:row>6</xdr:row>
      <xdr:rowOff>161925</xdr:rowOff>
    </xdr:from>
    <xdr:to>
      <xdr:col>1</xdr:col>
      <xdr:colOff>142875</xdr:colOff>
      <xdr:row>8</xdr:row>
      <xdr:rowOff>0</xdr:rowOff>
    </xdr:to>
    <xdr:sp macro="" textlink="">
      <xdr:nvSpPr>
        <xdr:cNvPr id="29" name="Textfeld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/>
      </xdr:nvSpPr>
      <xdr:spPr>
        <a:xfrm>
          <a:off x="523875" y="1352550"/>
          <a:ext cx="381000" cy="219075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800"/>
            <a:t>200</a:t>
          </a:r>
        </a:p>
      </xdr:txBody>
    </xdr:sp>
    <xdr:clientData/>
  </xdr:twoCellAnchor>
  <xdr:twoCellAnchor>
    <xdr:from>
      <xdr:col>1</xdr:col>
      <xdr:colOff>419100</xdr:colOff>
      <xdr:row>4</xdr:row>
      <xdr:rowOff>104775</xdr:rowOff>
    </xdr:from>
    <xdr:to>
      <xdr:col>2</xdr:col>
      <xdr:colOff>38100</xdr:colOff>
      <xdr:row>5</xdr:row>
      <xdr:rowOff>133350</xdr:rowOff>
    </xdr:to>
    <xdr:sp macro="" textlink="">
      <xdr:nvSpPr>
        <xdr:cNvPr id="30" name="Textfeld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/>
      </xdr:nvSpPr>
      <xdr:spPr>
        <a:xfrm>
          <a:off x="1181100" y="914400"/>
          <a:ext cx="381000" cy="219075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800"/>
            <a:t>250</a:t>
          </a:r>
        </a:p>
      </xdr:txBody>
    </xdr:sp>
    <xdr:clientData/>
  </xdr:twoCellAnchor>
  <xdr:twoCellAnchor>
    <xdr:from>
      <xdr:col>2</xdr:col>
      <xdr:colOff>400050</xdr:colOff>
      <xdr:row>7</xdr:row>
      <xdr:rowOff>85725</xdr:rowOff>
    </xdr:from>
    <xdr:to>
      <xdr:col>2</xdr:col>
      <xdr:colOff>466725</xdr:colOff>
      <xdr:row>9</xdr:row>
      <xdr:rowOff>38100</xdr:rowOff>
    </xdr:to>
    <xdr:cxnSp macro="">
      <xdr:nvCxnSpPr>
        <xdr:cNvPr id="33" name="Gerade Verbindung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CxnSpPr>
          <a:endCxn id="28" idx="0"/>
        </xdr:cNvCxnSpPr>
      </xdr:nvCxnSpPr>
      <xdr:spPr>
        <a:xfrm flipH="1">
          <a:off x="1924050" y="1466850"/>
          <a:ext cx="66675" cy="3333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1</xdr:row>
      <xdr:rowOff>114300</xdr:rowOff>
    </xdr:from>
    <xdr:to>
      <xdr:col>8</xdr:col>
      <xdr:colOff>285750</xdr:colOff>
      <xdr:row>12</xdr:row>
      <xdr:rowOff>152400</xdr:rowOff>
    </xdr:to>
    <xdr:sp macro="" textlink="">
      <xdr:nvSpPr>
        <xdr:cNvPr id="2" name="Abgerundetes Rechteck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247650" y="352425"/>
          <a:ext cx="6134100" cy="2133600"/>
        </a:xfrm>
        <a:prstGeom prst="roundRect">
          <a:avLst/>
        </a:prstGeom>
        <a:solidFill>
          <a:schemeClr val="accent4">
            <a:lumMod val="40000"/>
            <a:lumOff val="60000"/>
          </a:schemeClr>
        </a:solidFill>
        <a:ln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ctr"/>
          <a:r>
            <a:rPr lang="de-DE" sz="1100" b="1">
              <a:solidFill>
                <a:schemeClr val="accent4">
                  <a:lumMod val="75000"/>
                </a:schemeClr>
              </a:solidFill>
            </a:rPr>
            <a:t>TSO A + B</a:t>
          </a:r>
        </a:p>
      </xdr:txBody>
    </xdr:sp>
    <xdr:clientData/>
  </xdr:twoCellAnchor>
  <xdr:twoCellAnchor>
    <xdr:from>
      <xdr:col>4</xdr:col>
      <xdr:colOff>273326</xdr:colOff>
      <xdr:row>5</xdr:row>
      <xdr:rowOff>35719</xdr:rowOff>
    </xdr:from>
    <xdr:to>
      <xdr:col>8</xdr:col>
      <xdr:colOff>279797</xdr:colOff>
      <xdr:row>5</xdr:row>
      <xdr:rowOff>49696</xdr:rowOff>
    </xdr:to>
    <xdr:cxnSp macro="">
      <xdr:nvCxnSpPr>
        <xdr:cNvPr id="4" name="Gerade Verbindung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CxnSpPr/>
      </xdr:nvCxnSpPr>
      <xdr:spPr>
        <a:xfrm flipV="1">
          <a:off x="3321326" y="1035844"/>
          <a:ext cx="3054471" cy="13977"/>
        </a:xfrm>
        <a:prstGeom prst="line">
          <a:avLst/>
        </a:prstGeom>
        <a:ln w="38100"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363141</xdr:colOff>
      <xdr:row>5</xdr:row>
      <xdr:rowOff>53578</xdr:rowOff>
    </xdr:from>
    <xdr:to>
      <xdr:col>5</xdr:col>
      <xdr:colOff>369094</xdr:colOff>
      <xdr:row>7</xdr:row>
      <xdr:rowOff>41672</xdr:rowOff>
    </xdr:to>
    <xdr:cxnSp macro="">
      <xdr:nvCxnSpPr>
        <xdr:cNvPr id="5" name="Gerade Verbindung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CxnSpPr/>
      </xdr:nvCxnSpPr>
      <xdr:spPr>
        <a:xfrm flipH="1">
          <a:off x="4173141" y="1053703"/>
          <a:ext cx="5953" cy="369094"/>
        </a:xfrm>
        <a:prstGeom prst="line">
          <a:avLst/>
        </a:prstGeom>
        <a:ln w="38100"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244078</xdr:colOff>
      <xdr:row>5</xdr:row>
      <xdr:rowOff>53580</xdr:rowOff>
    </xdr:from>
    <xdr:to>
      <xdr:col>4</xdr:col>
      <xdr:colOff>250031</xdr:colOff>
      <xdr:row>9</xdr:row>
      <xdr:rowOff>0</xdr:rowOff>
    </xdr:to>
    <xdr:cxnSp macro="">
      <xdr:nvCxnSpPr>
        <xdr:cNvPr id="6" name="Gerade Verbindung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CxnSpPr/>
      </xdr:nvCxnSpPr>
      <xdr:spPr>
        <a:xfrm flipV="1">
          <a:off x="244078" y="1053705"/>
          <a:ext cx="3053953" cy="708420"/>
        </a:xfrm>
        <a:prstGeom prst="line">
          <a:avLst/>
        </a:prstGeom>
        <a:ln w="3810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11906</xdr:colOff>
      <xdr:row>1</xdr:row>
      <xdr:rowOff>119064</xdr:rowOff>
    </xdr:from>
    <xdr:to>
      <xdr:col>1</xdr:col>
      <xdr:colOff>517922</xdr:colOff>
      <xdr:row>7</xdr:row>
      <xdr:rowOff>142875</xdr:rowOff>
    </xdr:to>
    <xdr:cxnSp macro="">
      <xdr:nvCxnSpPr>
        <xdr:cNvPr id="7" name="Gerade Verbindung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CxnSpPr/>
      </xdr:nvCxnSpPr>
      <xdr:spPr>
        <a:xfrm flipH="1" flipV="1">
          <a:off x="773906" y="357189"/>
          <a:ext cx="506016" cy="1166811"/>
        </a:xfrm>
        <a:prstGeom prst="line">
          <a:avLst/>
        </a:prstGeom>
        <a:ln w="3810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386953</xdr:colOff>
      <xdr:row>7</xdr:row>
      <xdr:rowOff>5953</xdr:rowOff>
    </xdr:from>
    <xdr:to>
      <xdr:col>2</xdr:col>
      <xdr:colOff>571500</xdr:colOff>
      <xdr:row>8</xdr:row>
      <xdr:rowOff>85725</xdr:rowOff>
    </xdr:to>
    <xdr:cxnSp macro="">
      <xdr:nvCxnSpPr>
        <xdr:cNvPr id="8" name="Gerade Verbindung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CxnSpPr/>
      </xdr:nvCxnSpPr>
      <xdr:spPr>
        <a:xfrm>
          <a:off x="1910953" y="1387078"/>
          <a:ext cx="184547" cy="270272"/>
        </a:xfrm>
        <a:prstGeom prst="line">
          <a:avLst/>
        </a:prstGeom>
        <a:ln w="3810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196454</xdr:colOff>
      <xdr:row>4</xdr:row>
      <xdr:rowOff>136922</xdr:rowOff>
    </xdr:from>
    <xdr:to>
      <xdr:col>8</xdr:col>
      <xdr:colOff>369095</xdr:colOff>
      <xdr:row>5</xdr:row>
      <xdr:rowOff>119063</xdr:rowOff>
    </xdr:to>
    <xdr:sp macro="" textlink="">
      <xdr:nvSpPr>
        <xdr:cNvPr id="9" name="Ellips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6292454" y="946547"/>
          <a:ext cx="172641" cy="172641"/>
        </a:xfrm>
        <a:prstGeom prst="ellipse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4</xdr:col>
      <xdr:colOff>178594</xdr:colOff>
      <xdr:row>4</xdr:row>
      <xdr:rowOff>148829</xdr:rowOff>
    </xdr:from>
    <xdr:to>
      <xdr:col>4</xdr:col>
      <xdr:colOff>351235</xdr:colOff>
      <xdr:row>5</xdr:row>
      <xdr:rowOff>130970</xdr:rowOff>
    </xdr:to>
    <xdr:sp macro="" textlink="">
      <xdr:nvSpPr>
        <xdr:cNvPr id="10" name="Ellips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3226594" y="958454"/>
          <a:ext cx="172641" cy="172641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5</xdr:col>
      <xdr:colOff>273844</xdr:colOff>
      <xdr:row>6</xdr:row>
      <xdr:rowOff>142875</xdr:rowOff>
    </xdr:from>
    <xdr:to>
      <xdr:col>5</xdr:col>
      <xdr:colOff>446485</xdr:colOff>
      <xdr:row>7</xdr:row>
      <xdr:rowOff>125016</xdr:rowOff>
    </xdr:to>
    <xdr:sp macro="" textlink="">
      <xdr:nvSpPr>
        <xdr:cNvPr id="11" name="Ellips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4083844" y="1333500"/>
          <a:ext cx="172641" cy="172641"/>
        </a:xfrm>
        <a:prstGeom prst="ellipse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507207</xdr:colOff>
      <xdr:row>8</xdr:row>
      <xdr:rowOff>2382</xdr:rowOff>
    </xdr:from>
    <xdr:to>
      <xdr:col>2</xdr:col>
      <xdr:colOff>679848</xdr:colOff>
      <xdr:row>8</xdr:row>
      <xdr:rowOff>175023</xdr:rowOff>
    </xdr:to>
    <xdr:sp macro="" textlink="">
      <xdr:nvSpPr>
        <xdr:cNvPr id="12" name="Ellips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2031207" y="1574007"/>
          <a:ext cx="172641" cy="172641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178594</xdr:colOff>
      <xdr:row>8</xdr:row>
      <xdr:rowOff>107157</xdr:rowOff>
    </xdr:from>
    <xdr:to>
      <xdr:col>0</xdr:col>
      <xdr:colOff>351235</xdr:colOff>
      <xdr:row>9</xdr:row>
      <xdr:rowOff>89298</xdr:rowOff>
    </xdr:to>
    <xdr:sp macro="" textlink="">
      <xdr:nvSpPr>
        <xdr:cNvPr id="13" name="Ellips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178594" y="1678782"/>
          <a:ext cx="172641" cy="172641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8</xdr:col>
      <xdr:colOff>392906</xdr:colOff>
      <xdr:row>4</xdr:row>
      <xdr:rowOff>101202</xdr:rowOff>
    </xdr:from>
    <xdr:to>
      <xdr:col>9</xdr:col>
      <xdr:colOff>339328</xdr:colOff>
      <xdr:row>5</xdr:row>
      <xdr:rowOff>160734</xdr:rowOff>
    </xdr:to>
    <xdr:sp macro="" textlink="">
      <xdr:nvSpPr>
        <xdr:cNvPr id="15" name="Textfeld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6488906" y="910827"/>
          <a:ext cx="708422" cy="2500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/>
            <a:t>Entry</a:t>
          </a:r>
          <a:r>
            <a:rPr lang="de-DE" sz="1100" baseline="0"/>
            <a:t> B1</a:t>
          </a:r>
          <a:endParaRPr lang="de-DE" sz="1100"/>
        </a:p>
      </xdr:txBody>
    </xdr:sp>
    <xdr:clientData/>
  </xdr:twoCellAnchor>
  <xdr:twoCellAnchor>
    <xdr:from>
      <xdr:col>4</xdr:col>
      <xdr:colOff>672703</xdr:colOff>
      <xdr:row>7</xdr:row>
      <xdr:rowOff>166688</xdr:rowOff>
    </xdr:from>
    <xdr:to>
      <xdr:col>6</xdr:col>
      <xdr:colOff>41672</xdr:colOff>
      <xdr:row>9</xdr:row>
      <xdr:rowOff>5954</xdr:rowOff>
    </xdr:to>
    <xdr:sp macro="" textlink="">
      <xdr:nvSpPr>
        <xdr:cNvPr id="16" name="Textfeld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3720703" y="1547813"/>
          <a:ext cx="892969" cy="22026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/>
            <a:t>Exit Dom</a:t>
          </a:r>
          <a:r>
            <a:rPr lang="de-DE" sz="1100" baseline="0"/>
            <a:t> B2</a:t>
          </a:r>
          <a:endParaRPr lang="de-DE" sz="1100"/>
        </a:p>
      </xdr:txBody>
    </xdr:sp>
    <xdr:clientData/>
  </xdr:twoCellAnchor>
  <xdr:twoCellAnchor>
    <xdr:from>
      <xdr:col>0</xdr:col>
      <xdr:colOff>321470</xdr:colOff>
      <xdr:row>9</xdr:row>
      <xdr:rowOff>130969</xdr:rowOff>
    </xdr:from>
    <xdr:to>
      <xdr:col>1</xdr:col>
      <xdr:colOff>452439</xdr:colOff>
      <xdr:row>10</xdr:row>
      <xdr:rowOff>160735</xdr:rowOff>
    </xdr:to>
    <xdr:sp macro="" textlink="">
      <xdr:nvSpPr>
        <xdr:cNvPr id="19" name="Textfeld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321470" y="1893094"/>
          <a:ext cx="892969" cy="22026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/>
            <a:t>Exit</a:t>
          </a:r>
          <a:r>
            <a:rPr lang="de-DE" sz="1100" baseline="0"/>
            <a:t> A4</a:t>
          </a:r>
          <a:endParaRPr lang="de-DE" sz="1100"/>
        </a:p>
      </xdr:txBody>
    </xdr:sp>
    <xdr:clientData/>
  </xdr:twoCellAnchor>
  <xdr:twoCellAnchor>
    <xdr:from>
      <xdr:col>1</xdr:col>
      <xdr:colOff>232172</xdr:colOff>
      <xdr:row>1</xdr:row>
      <xdr:rowOff>178593</xdr:rowOff>
    </xdr:from>
    <xdr:to>
      <xdr:col>2</xdr:col>
      <xdr:colOff>314739</xdr:colOff>
      <xdr:row>2</xdr:row>
      <xdr:rowOff>231912</xdr:rowOff>
    </xdr:to>
    <xdr:sp macro="" textlink="">
      <xdr:nvSpPr>
        <xdr:cNvPr id="20" name="Textfeld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>
          <a:off x="994172" y="416718"/>
          <a:ext cx="844567" cy="205719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aseline="0"/>
            <a:t>Entry A2</a:t>
          </a:r>
          <a:endParaRPr lang="de-DE" sz="1100"/>
        </a:p>
      </xdr:txBody>
    </xdr:sp>
    <xdr:clientData/>
  </xdr:twoCellAnchor>
  <xdr:twoCellAnchor>
    <xdr:from>
      <xdr:col>2</xdr:col>
      <xdr:colOff>738188</xdr:colOff>
      <xdr:row>9</xdr:row>
      <xdr:rowOff>67865</xdr:rowOff>
    </xdr:from>
    <xdr:to>
      <xdr:col>4</xdr:col>
      <xdr:colOff>107157</xdr:colOff>
      <xdr:row>10</xdr:row>
      <xdr:rowOff>97631</xdr:rowOff>
    </xdr:to>
    <xdr:sp macro="" textlink="">
      <xdr:nvSpPr>
        <xdr:cNvPr id="21" name="Textfeld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>
          <a:off x="2262188" y="1829990"/>
          <a:ext cx="892969" cy="22026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aseline="0"/>
            <a:t>Exit Dom A3</a:t>
          </a:r>
          <a:endParaRPr lang="de-DE" sz="1100"/>
        </a:p>
      </xdr:txBody>
    </xdr:sp>
    <xdr:clientData/>
  </xdr:twoCellAnchor>
  <xdr:twoCellAnchor>
    <xdr:from>
      <xdr:col>0</xdr:col>
      <xdr:colOff>684152</xdr:colOff>
      <xdr:row>1</xdr:row>
      <xdr:rowOff>22897</xdr:rowOff>
    </xdr:from>
    <xdr:to>
      <xdr:col>1</xdr:col>
      <xdr:colOff>94793</xdr:colOff>
      <xdr:row>1</xdr:row>
      <xdr:rowOff>195538</xdr:rowOff>
    </xdr:to>
    <xdr:sp macro="" textlink="">
      <xdr:nvSpPr>
        <xdr:cNvPr id="22" name="Ellipse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/>
      </xdr:nvSpPr>
      <xdr:spPr>
        <a:xfrm>
          <a:off x="684152" y="261022"/>
          <a:ext cx="172641" cy="163116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6</xdr:col>
      <xdr:colOff>438150</xdr:colOff>
      <xdr:row>5</xdr:row>
      <xdr:rowOff>95250</xdr:rowOff>
    </xdr:from>
    <xdr:to>
      <xdr:col>7</xdr:col>
      <xdr:colOff>57150</xdr:colOff>
      <xdr:row>6</xdr:row>
      <xdr:rowOff>123825</xdr:rowOff>
    </xdr:to>
    <xdr:sp macro="" textlink="">
      <xdr:nvSpPr>
        <xdr:cNvPr id="23" name="Textfeld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>
        <a:xfrm>
          <a:off x="5010150" y="1095375"/>
          <a:ext cx="381000" cy="21907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800"/>
            <a:t>500</a:t>
          </a:r>
        </a:p>
      </xdr:txBody>
    </xdr:sp>
    <xdr:clientData/>
  </xdr:twoCellAnchor>
  <xdr:twoCellAnchor>
    <xdr:from>
      <xdr:col>4</xdr:col>
      <xdr:colOff>561975</xdr:colOff>
      <xdr:row>5</xdr:row>
      <xdr:rowOff>104775</xdr:rowOff>
    </xdr:from>
    <xdr:to>
      <xdr:col>5</xdr:col>
      <xdr:colOff>180975</xdr:colOff>
      <xdr:row>6</xdr:row>
      <xdr:rowOff>133350</xdr:rowOff>
    </xdr:to>
    <xdr:sp macro="" textlink="">
      <xdr:nvSpPr>
        <xdr:cNvPr id="24" name="Textfeld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/>
      </xdr:nvSpPr>
      <xdr:spPr>
        <a:xfrm>
          <a:off x="3609975" y="1104900"/>
          <a:ext cx="381000" cy="21907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800"/>
            <a:t>150</a:t>
          </a:r>
        </a:p>
      </xdr:txBody>
    </xdr:sp>
    <xdr:clientData/>
  </xdr:twoCellAnchor>
  <xdr:twoCellAnchor>
    <xdr:from>
      <xdr:col>5</xdr:col>
      <xdr:colOff>447675</xdr:colOff>
      <xdr:row>5</xdr:row>
      <xdr:rowOff>104775</xdr:rowOff>
    </xdr:from>
    <xdr:to>
      <xdr:col>6</xdr:col>
      <xdr:colOff>66675</xdr:colOff>
      <xdr:row>6</xdr:row>
      <xdr:rowOff>133350</xdr:rowOff>
    </xdr:to>
    <xdr:sp macro="" textlink="">
      <xdr:nvSpPr>
        <xdr:cNvPr id="25" name="Textfeld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/>
      </xdr:nvSpPr>
      <xdr:spPr>
        <a:xfrm>
          <a:off x="4257675" y="1104900"/>
          <a:ext cx="381000" cy="21907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800"/>
            <a:t>50</a:t>
          </a:r>
        </a:p>
      </xdr:txBody>
    </xdr:sp>
    <xdr:clientData/>
  </xdr:twoCellAnchor>
  <xdr:twoCellAnchor>
    <xdr:from>
      <xdr:col>3</xdr:col>
      <xdr:colOff>133350</xdr:colOff>
      <xdr:row>6</xdr:row>
      <xdr:rowOff>114300</xdr:rowOff>
    </xdr:from>
    <xdr:to>
      <xdr:col>3</xdr:col>
      <xdr:colOff>514350</xdr:colOff>
      <xdr:row>7</xdr:row>
      <xdr:rowOff>142875</xdr:rowOff>
    </xdr:to>
    <xdr:sp macro="" textlink="">
      <xdr:nvSpPr>
        <xdr:cNvPr id="26" name="Textfeld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/>
      </xdr:nvSpPr>
      <xdr:spPr>
        <a:xfrm>
          <a:off x="2419350" y="1304925"/>
          <a:ext cx="381000" cy="219075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800"/>
            <a:t>300</a:t>
          </a:r>
        </a:p>
      </xdr:txBody>
    </xdr:sp>
    <xdr:clientData/>
  </xdr:twoCellAnchor>
  <xdr:twoCellAnchor>
    <xdr:from>
      <xdr:col>1</xdr:col>
      <xdr:colOff>714375</xdr:colOff>
      <xdr:row>7</xdr:row>
      <xdr:rowOff>142875</xdr:rowOff>
    </xdr:from>
    <xdr:to>
      <xdr:col>2</xdr:col>
      <xdr:colOff>333375</xdr:colOff>
      <xdr:row>8</xdr:row>
      <xdr:rowOff>171450</xdr:rowOff>
    </xdr:to>
    <xdr:sp macro="" textlink="">
      <xdr:nvSpPr>
        <xdr:cNvPr id="27" name="Textfeld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/>
      </xdr:nvSpPr>
      <xdr:spPr>
        <a:xfrm>
          <a:off x="1476375" y="1524000"/>
          <a:ext cx="381000" cy="219075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800"/>
            <a:t>150</a:t>
          </a:r>
        </a:p>
      </xdr:txBody>
    </xdr:sp>
    <xdr:clientData/>
  </xdr:twoCellAnchor>
  <xdr:twoCellAnchor>
    <xdr:from>
      <xdr:col>2</xdr:col>
      <xdr:colOff>209550</xdr:colOff>
      <xdr:row>9</xdr:row>
      <xdr:rowOff>38100</xdr:rowOff>
    </xdr:from>
    <xdr:to>
      <xdr:col>2</xdr:col>
      <xdr:colOff>590550</xdr:colOff>
      <xdr:row>10</xdr:row>
      <xdr:rowOff>66675</xdr:rowOff>
    </xdr:to>
    <xdr:sp macro="" textlink="">
      <xdr:nvSpPr>
        <xdr:cNvPr id="28" name="Textfeld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/>
      </xdr:nvSpPr>
      <xdr:spPr>
        <a:xfrm>
          <a:off x="1733550" y="1800225"/>
          <a:ext cx="381000" cy="219075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800"/>
            <a:t>50</a:t>
          </a:r>
        </a:p>
      </xdr:txBody>
    </xdr:sp>
    <xdr:clientData/>
  </xdr:twoCellAnchor>
  <xdr:twoCellAnchor>
    <xdr:from>
      <xdr:col>0</xdr:col>
      <xdr:colOff>523875</xdr:colOff>
      <xdr:row>6</xdr:row>
      <xdr:rowOff>161925</xdr:rowOff>
    </xdr:from>
    <xdr:to>
      <xdr:col>1</xdr:col>
      <xdr:colOff>142875</xdr:colOff>
      <xdr:row>8</xdr:row>
      <xdr:rowOff>0</xdr:rowOff>
    </xdr:to>
    <xdr:sp macro="" textlink="">
      <xdr:nvSpPr>
        <xdr:cNvPr id="29" name="Textfeld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 txBox="1"/>
      </xdr:nvSpPr>
      <xdr:spPr>
        <a:xfrm>
          <a:off x="523875" y="1352550"/>
          <a:ext cx="381000" cy="219075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800"/>
            <a:t>200</a:t>
          </a:r>
        </a:p>
      </xdr:txBody>
    </xdr:sp>
    <xdr:clientData/>
  </xdr:twoCellAnchor>
  <xdr:twoCellAnchor>
    <xdr:from>
      <xdr:col>1</xdr:col>
      <xdr:colOff>419100</xdr:colOff>
      <xdr:row>4</xdr:row>
      <xdr:rowOff>104775</xdr:rowOff>
    </xdr:from>
    <xdr:to>
      <xdr:col>2</xdr:col>
      <xdr:colOff>38100</xdr:colOff>
      <xdr:row>5</xdr:row>
      <xdr:rowOff>133350</xdr:rowOff>
    </xdr:to>
    <xdr:sp macro="" textlink="">
      <xdr:nvSpPr>
        <xdr:cNvPr id="30" name="Textfeld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/>
      </xdr:nvSpPr>
      <xdr:spPr>
        <a:xfrm>
          <a:off x="1181100" y="914400"/>
          <a:ext cx="381000" cy="219075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800"/>
            <a:t>250</a:t>
          </a:r>
        </a:p>
      </xdr:txBody>
    </xdr:sp>
    <xdr:clientData/>
  </xdr:twoCellAnchor>
  <xdr:twoCellAnchor>
    <xdr:from>
      <xdr:col>2</xdr:col>
      <xdr:colOff>400050</xdr:colOff>
      <xdr:row>7</xdr:row>
      <xdr:rowOff>85725</xdr:rowOff>
    </xdr:from>
    <xdr:to>
      <xdr:col>2</xdr:col>
      <xdr:colOff>466725</xdr:colOff>
      <xdr:row>9</xdr:row>
      <xdr:rowOff>38100</xdr:rowOff>
    </xdr:to>
    <xdr:cxnSp macro="">
      <xdr:nvCxnSpPr>
        <xdr:cNvPr id="31" name="Gerade Verbindung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CxnSpPr>
          <a:endCxn id="28" idx="0"/>
        </xdr:cNvCxnSpPr>
      </xdr:nvCxnSpPr>
      <xdr:spPr>
        <a:xfrm flipH="1">
          <a:off x="1924050" y="1466850"/>
          <a:ext cx="66675" cy="3333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Larissa">
  <a:themeElements>
    <a:clrScheme name="Nyad">
      <a:dk1>
        <a:sysClr val="windowText" lastClr="000000"/>
      </a:dk1>
      <a:lt1>
        <a:sysClr val="window" lastClr="FFFFFF"/>
      </a:lt1>
      <a:dk2>
        <a:srgbClr val="4F271C"/>
      </a:dk2>
      <a:lt2>
        <a:srgbClr val="E7DEC9"/>
      </a:lt2>
      <a:accent1>
        <a:srgbClr val="3891A7"/>
      </a:accent1>
      <a:accent2>
        <a:srgbClr val="FEB80A"/>
      </a:accent2>
      <a:accent3>
        <a:srgbClr val="C32D2E"/>
      </a:accent3>
      <a:accent4>
        <a:srgbClr val="84AA33"/>
      </a:accent4>
      <a:accent5>
        <a:srgbClr val="964305"/>
      </a:accent5>
      <a:accent6>
        <a:srgbClr val="475A8D"/>
      </a:accent6>
      <a:hlink>
        <a:srgbClr val="8DC765"/>
      </a:hlink>
      <a:folHlink>
        <a:srgbClr val="AA8A14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965E0-AE9A-4D95-9FA7-A34050F4191E}">
  <sheetPr>
    <tabColor theme="9" tint="0.39997558519241921"/>
  </sheetPr>
  <dimension ref="A1"/>
  <sheetViews>
    <sheetView showGridLines="0" showRowColHeaders="0" tabSelected="1" workbookViewId="0">
      <selection activeCell="J11" sqref="J11"/>
    </sheetView>
  </sheetViews>
  <sheetFormatPr baseColWidth="10" defaultRowHeight="15" x14ac:dyDescent="0.25"/>
  <sheetData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39997558519241921"/>
  </sheetPr>
  <dimension ref="A1:AF37"/>
  <sheetViews>
    <sheetView zoomScale="85" zoomScaleNormal="85" workbookViewId="0"/>
  </sheetViews>
  <sheetFormatPr baseColWidth="10" defaultColWidth="11.42578125" defaultRowHeight="15" x14ac:dyDescent="0.25"/>
  <cols>
    <col min="1" max="7" width="11.42578125" style="1"/>
    <col min="8" max="8" width="15.28515625" style="1" bestFit="1" customWidth="1"/>
    <col min="9" max="9" width="11.42578125" style="1" customWidth="1"/>
    <col min="10" max="10" width="7" style="1" customWidth="1"/>
    <col min="11" max="12" width="11.5703125" style="1" customWidth="1"/>
    <col min="13" max="13" width="13" style="1" customWidth="1"/>
    <col min="14" max="14" width="17.85546875" style="1" bestFit="1" customWidth="1"/>
    <col min="15" max="15" width="14" style="1" customWidth="1"/>
    <col min="16" max="16" width="11.140625" style="1" customWidth="1"/>
    <col min="17" max="17" width="11.42578125" style="1"/>
    <col min="18" max="18" width="4.7109375" style="1" customWidth="1"/>
    <col min="19" max="19" width="11.42578125" style="1"/>
    <col min="20" max="20" width="17.85546875" style="1" bestFit="1" customWidth="1"/>
    <col min="21" max="22" width="11.42578125" style="1"/>
    <col min="23" max="23" width="5.7109375" style="1" customWidth="1"/>
    <col min="24" max="24" width="11.42578125" style="1" customWidth="1"/>
    <col min="25" max="25" width="18.85546875" style="1" customWidth="1"/>
    <col min="26" max="26" width="17.140625" style="1" customWidth="1"/>
    <col min="27" max="29" width="11.42578125" style="1"/>
    <col min="30" max="30" width="13.7109375" style="1" customWidth="1"/>
    <col min="31" max="31" width="17.140625" style="1" customWidth="1"/>
    <col min="32" max="16384" width="11.42578125" style="1"/>
  </cols>
  <sheetData>
    <row r="1" spans="1:32" ht="19.5" thickBot="1" x14ac:dyDescent="0.3">
      <c r="A1" s="16" t="s">
        <v>0</v>
      </c>
      <c r="K1" s="118" t="s">
        <v>12</v>
      </c>
      <c r="L1" s="119"/>
      <c r="M1" s="119"/>
      <c r="N1" s="119"/>
      <c r="O1" s="119"/>
      <c r="P1" s="119"/>
      <c r="Q1" s="120"/>
      <c r="S1" s="121" t="s">
        <v>53</v>
      </c>
      <c r="T1" s="122"/>
      <c r="U1" s="122"/>
      <c r="V1" s="122"/>
      <c r="X1" s="121" t="s">
        <v>32</v>
      </c>
      <c r="Y1" s="122"/>
      <c r="Z1" s="122"/>
      <c r="AA1" s="122"/>
      <c r="AB1" s="122"/>
      <c r="AC1" s="122"/>
      <c r="AD1" s="122"/>
      <c r="AE1" s="122"/>
      <c r="AF1" s="122"/>
    </row>
    <row r="3" spans="1:32" ht="30" x14ac:dyDescent="0.25">
      <c r="M3" s="46" t="s">
        <v>15</v>
      </c>
      <c r="N3" s="46" t="s">
        <v>14</v>
      </c>
      <c r="O3" s="46" t="s">
        <v>31</v>
      </c>
      <c r="P3" s="46" t="s">
        <v>10</v>
      </c>
      <c r="Q3" s="46" t="s">
        <v>11</v>
      </c>
      <c r="U3" s="50" t="s">
        <v>13</v>
      </c>
      <c r="V3" s="50" t="s">
        <v>51</v>
      </c>
      <c r="Z3" s="106" t="s">
        <v>13</v>
      </c>
      <c r="AA3" s="106" t="s">
        <v>51</v>
      </c>
      <c r="AE3" s="106" t="s">
        <v>13</v>
      </c>
      <c r="AF3" s="106" t="s">
        <v>51</v>
      </c>
    </row>
    <row r="4" spans="1:32" x14ac:dyDescent="0.25">
      <c r="K4" s="126" t="s">
        <v>7</v>
      </c>
      <c r="L4" s="18" t="s">
        <v>3</v>
      </c>
      <c r="M4" s="18">
        <v>10</v>
      </c>
      <c r="N4" s="18">
        <v>9</v>
      </c>
      <c r="O4" s="124">
        <v>70</v>
      </c>
      <c r="P4" s="125">
        <f>ROUND((N4+N5)/SUM(N4:N7),2)</f>
        <v>0.5</v>
      </c>
      <c r="Q4" s="125">
        <f>1-P4</f>
        <v>0.5</v>
      </c>
      <c r="S4" s="127" t="s">
        <v>7</v>
      </c>
      <c r="T4" s="18" t="s">
        <v>3</v>
      </c>
      <c r="U4" s="15">
        <f>O4*P4/(('Separate same rpm'!N4+'Separate same rpm'!N5))</f>
        <v>3.1818181818181817</v>
      </c>
      <c r="V4" s="15">
        <f>'Distances and CWDA - 2 zones'!C60</f>
        <v>3.074074074074074</v>
      </c>
      <c r="X4" s="127" t="s">
        <v>7</v>
      </c>
      <c r="Y4" s="59" t="s">
        <v>3</v>
      </c>
      <c r="Z4" s="105">
        <f>U4*N4</f>
        <v>28.636363636363633</v>
      </c>
      <c r="AA4" s="105">
        <f>V4*N4</f>
        <v>27.666666666666664</v>
      </c>
      <c r="AC4" s="138" t="s">
        <v>8</v>
      </c>
      <c r="AD4" s="59" t="s">
        <v>3</v>
      </c>
      <c r="AE4" s="105">
        <f>U9*N9</f>
        <v>32.5</v>
      </c>
      <c r="AF4" s="105">
        <f>V9*N9</f>
        <v>32.5</v>
      </c>
    </row>
    <row r="5" spans="1:32" x14ac:dyDescent="0.25">
      <c r="K5" s="126"/>
      <c r="L5" s="18" t="s">
        <v>1</v>
      </c>
      <c r="M5" s="18">
        <v>4</v>
      </c>
      <c r="N5" s="18">
        <v>2</v>
      </c>
      <c r="O5" s="124"/>
      <c r="P5" s="125"/>
      <c r="Q5" s="125"/>
      <c r="S5" s="127"/>
      <c r="T5" s="18" t="s">
        <v>1</v>
      </c>
      <c r="U5" s="15">
        <f>O4*P4/(('Separate same rpm'!N4+'Separate same rpm'!N5))</f>
        <v>3.1818181818181817</v>
      </c>
      <c r="V5" s="15">
        <f>'Distances and CWDA - 2 zones'!C61</f>
        <v>3.6666666666666674</v>
      </c>
      <c r="X5" s="127"/>
      <c r="Y5" s="59" t="s">
        <v>1</v>
      </c>
      <c r="Z5" s="105">
        <f t="shared" ref="Z5:Z7" si="0">U5*N5</f>
        <v>6.3636363636363633</v>
      </c>
      <c r="AA5" s="105">
        <f t="shared" ref="AA5:AA7" si="1">V5*N5</f>
        <v>7.3333333333333348</v>
      </c>
      <c r="AC5" s="139"/>
      <c r="AD5" s="59" t="s">
        <v>1</v>
      </c>
      <c r="AE5" s="105">
        <f t="shared" ref="AE5:AE6" si="2">U10*N10</f>
        <v>8.125</v>
      </c>
      <c r="AF5" s="105">
        <f t="shared" ref="AF5:AF6" si="3">V10*N10</f>
        <v>7.15</v>
      </c>
    </row>
    <row r="6" spans="1:32" x14ac:dyDescent="0.25">
      <c r="K6" s="126"/>
      <c r="L6" s="18" t="s">
        <v>2</v>
      </c>
      <c r="M6" s="18">
        <v>11</v>
      </c>
      <c r="N6" s="18">
        <v>10</v>
      </c>
      <c r="O6" s="124"/>
      <c r="P6" s="125"/>
      <c r="Q6" s="125"/>
      <c r="S6" s="127"/>
      <c r="T6" s="18" t="s">
        <v>2</v>
      </c>
      <c r="U6" s="15">
        <f>O4*Q4/(('Separate same rpm'!N6+'Separate same rpm'!N7))</f>
        <v>3.1818181818181817</v>
      </c>
      <c r="V6" s="15">
        <f>'Distances and CWDA - 2 zones'!C62</f>
        <v>3</v>
      </c>
      <c r="X6" s="127"/>
      <c r="Y6" s="59" t="s">
        <v>2</v>
      </c>
      <c r="Z6" s="105">
        <f t="shared" si="0"/>
        <v>31.818181818181817</v>
      </c>
      <c r="AA6" s="105">
        <f t="shared" si="1"/>
        <v>30</v>
      </c>
      <c r="AC6" s="139"/>
      <c r="AD6" s="59" t="s">
        <v>2</v>
      </c>
      <c r="AE6" s="105">
        <f t="shared" si="2"/>
        <v>24.375</v>
      </c>
      <c r="AF6" s="105">
        <f t="shared" si="3"/>
        <v>25.35</v>
      </c>
    </row>
    <row r="7" spans="1:32" x14ac:dyDescent="0.25">
      <c r="K7" s="126"/>
      <c r="L7" s="18" t="s">
        <v>4</v>
      </c>
      <c r="M7" s="18">
        <v>3</v>
      </c>
      <c r="N7" s="18">
        <v>1</v>
      </c>
      <c r="O7" s="124"/>
      <c r="P7" s="125"/>
      <c r="Q7" s="125"/>
      <c r="S7" s="127"/>
      <c r="T7" s="18" t="s">
        <v>4</v>
      </c>
      <c r="U7" s="15">
        <f>O4*Q4/(('Separate same rpm'!N6+'Separate same rpm'!N7))</f>
        <v>3.1818181818181817</v>
      </c>
      <c r="V7" s="15">
        <f>'Distances and CWDA - 2 zones'!C63</f>
        <v>5.0000000000000009</v>
      </c>
      <c r="X7" s="127"/>
      <c r="Y7" s="59" t="s">
        <v>4</v>
      </c>
      <c r="Z7" s="105">
        <f t="shared" si="0"/>
        <v>3.1818181818181817</v>
      </c>
      <c r="AA7" s="105">
        <f t="shared" si="1"/>
        <v>5.0000000000000009</v>
      </c>
      <c r="AC7" s="108"/>
      <c r="AD7" s="104"/>
      <c r="AE7" s="107"/>
      <c r="AF7" s="107"/>
    </row>
    <row r="8" spans="1:32" x14ac:dyDescent="0.25">
      <c r="AD8" s="59" t="s">
        <v>50</v>
      </c>
      <c r="AE8" s="105">
        <f>SUM(AE4:AE6)</f>
        <v>65</v>
      </c>
      <c r="AF8" s="105">
        <f>SUM(AF4:AF6)</f>
        <v>65</v>
      </c>
    </row>
    <row r="9" spans="1:32" x14ac:dyDescent="0.25">
      <c r="K9" s="123" t="s">
        <v>8</v>
      </c>
      <c r="L9" s="18" t="s">
        <v>5</v>
      </c>
      <c r="M9" s="18">
        <v>13</v>
      </c>
      <c r="N9" s="18">
        <v>12</v>
      </c>
      <c r="O9" s="124">
        <v>65</v>
      </c>
      <c r="P9" s="125">
        <f>ROUND((N9)/SUM(N9:N11),2)</f>
        <v>0.5</v>
      </c>
      <c r="Q9" s="125">
        <f>1-P9</f>
        <v>0.5</v>
      </c>
      <c r="S9" s="127" t="s">
        <v>8</v>
      </c>
      <c r="T9" s="18" t="s">
        <v>5</v>
      </c>
      <c r="U9" s="15">
        <f>O9*P9/((N9))</f>
        <v>2.7083333333333335</v>
      </c>
      <c r="V9" s="15">
        <f>'Distances and CWDA - 2 zones'!F60</f>
        <v>2.7083333333333335</v>
      </c>
      <c r="Y9" s="59" t="s">
        <v>50</v>
      </c>
      <c r="Z9" s="105">
        <f>SUM(Z4:Z7)</f>
        <v>70</v>
      </c>
      <c r="AA9" s="105">
        <f>SUM(AA4:AA7)</f>
        <v>70</v>
      </c>
    </row>
    <row r="10" spans="1:32" x14ac:dyDescent="0.25">
      <c r="K10" s="123"/>
      <c r="L10" s="18" t="s">
        <v>9</v>
      </c>
      <c r="M10" s="18">
        <v>3</v>
      </c>
      <c r="N10" s="18">
        <v>3</v>
      </c>
      <c r="O10" s="124"/>
      <c r="P10" s="125"/>
      <c r="Q10" s="125"/>
      <c r="S10" s="127"/>
      <c r="T10" s="18" t="s">
        <v>9</v>
      </c>
      <c r="U10" s="15">
        <f>O9*Q9/('Separate same rpm'!N10+'Separate same rpm'!N11)</f>
        <v>2.7083333333333335</v>
      </c>
      <c r="V10" s="15">
        <f>'Distances and CWDA - 2 zones'!F61</f>
        <v>2.3833333333333333</v>
      </c>
    </row>
    <row r="11" spans="1:32" x14ac:dyDescent="0.25">
      <c r="K11" s="123"/>
      <c r="L11" s="18" t="s">
        <v>6</v>
      </c>
      <c r="M11" s="18">
        <v>10</v>
      </c>
      <c r="N11" s="18">
        <v>9</v>
      </c>
      <c r="O11" s="124"/>
      <c r="P11" s="125"/>
      <c r="Q11" s="125"/>
      <c r="S11" s="127"/>
      <c r="T11" s="18" t="s">
        <v>6</v>
      </c>
      <c r="U11" s="15">
        <f>O9*Q9/('Separate same rpm'!N10+'Separate same rpm'!N11)</f>
        <v>2.7083333333333335</v>
      </c>
      <c r="V11" s="15">
        <f>'Distances and CWDA - 2 zones'!F62</f>
        <v>2.8166666666666669</v>
      </c>
    </row>
    <row r="13" spans="1:32" x14ac:dyDescent="0.25">
      <c r="K13" s="43" t="s">
        <v>37</v>
      </c>
    </row>
    <row r="14" spans="1:32" x14ac:dyDescent="0.25">
      <c r="K14" s="43" t="s">
        <v>52</v>
      </c>
    </row>
    <row r="15" spans="1:32" ht="15.75" thickBot="1" x14ac:dyDescent="0.3"/>
    <row r="16" spans="1:32" ht="19.5" thickBot="1" x14ac:dyDescent="0.3">
      <c r="A16" s="61" t="s">
        <v>44</v>
      </c>
      <c r="B16" s="62"/>
      <c r="C16" s="62"/>
      <c r="D16" s="62"/>
      <c r="E16" s="62"/>
      <c r="F16" s="62"/>
      <c r="G16" s="62"/>
      <c r="H16" s="62"/>
      <c r="K16" s="118" t="s">
        <v>12</v>
      </c>
      <c r="L16" s="119"/>
      <c r="M16" s="119"/>
      <c r="N16" s="119"/>
      <c r="O16" s="119"/>
      <c r="P16" s="119"/>
      <c r="Q16" s="120"/>
      <c r="S16" s="121" t="s">
        <v>54</v>
      </c>
      <c r="T16" s="122"/>
      <c r="U16" s="122"/>
      <c r="V16" s="122"/>
      <c r="W16" s="110"/>
      <c r="X16" s="110"/>
      <c r="Y16" s="110"/>
      <c r="Z16" s="110"/>
      <c r="AA16" s="110"/>
    </row>
    <row r="17" spans="1:27" x14ac:dyDescent="0.25">
      <c r="X17" s="141"/>
      <c r="Y17" s="141"/>
      <c r="Z17" s="141"/>
      <c r="AA17" s="141"/>
    </row>
    <row r="18" spans="1:27" s="25" customFormat="1" ht="45" x14ac:dyDescent="0.25">
      <c r="A18" s="137" t="s">
        <v>58</v>
      </c>
      <c r="B18" s="137"/>
      <c r="C18" s="137"/>
      <c r="D18" s="137"/>
      <c r="E18" s="137"/>
      <c r="F18" s="137"/>
      <c r="H18" s="111"/>
      <c r="I18" s="111"/>
      <c r="K18" s="1"/>
      <c r="L18" s="1"/>
      <c r="M18" s="46" t="s">
        <v>15</v>
      </c>
      <c r="N18" s="46" t="s">
        <v>14</v>
      </c>
      <c r="O18" s="46" t="s">
        <v>10</v>
      </c>
      <c r="P18" s="46" t="s">
        <v>11</v>
      </c>
      <c r="Q18" s="63" t="s">
        <v>47</v>
      </c>
      <c r="R18" s="1"/>
      <c r="S18" s="1"/>
      <c r="T18" s="1"/>
      <c r="U18" s="50" t="s">
        <v>13</v>
      </c>
      <c r="V18" s="50" t="s">
        <v>51</v>
      </c>
      <c r="X18" s="128"/>
      <c r="Y18" s="129"/>
      <c r="Z18" s="114"/>
      <c r="AA18" s="114"/>
    </row>
    <row r="19" spans="1:27" s="25" customFormat="1" x14ac:dyDescent="0.25">
      <c r="C19" s="117" t="s">
        <v>56</v>
      </c>
      <c r="D19" s="117"/>
      <c r="E19" s="117" t="s">
        <v>57</v>
      </c>
      <c r="F19" s="117"/>
      <c r="H19" s="112"/>
      <c r="I19" s="112"/>
      <c r="K19" s="123" t="s">
        <v>7</v>
      </c>
      <c r="L19" s="18" t="s">
        <v>1</v>
      </c>
      <c r="M19" s="18">
        <v>4</v>
      </c>
      <c r="N19" s="18">
        <v>2</v>
      </c>
      <c r="O19" s="130">
        <f>N19/SUM(N19:N21)</f>
        <v>0.15384615384615385</v>
      </c>
      <c r="P19" s="130">
        <f>1-O19</f>
        <v>0.84615384615384615</v>
      </c>
      <c r="Q19" s="133">
        <f>'Separate same rpm'!O4+O26</f>
        <v>60</v>
      </c>
      <c r="R19" s="1"/>
      <c r="S19" s="127" t="s">
        <v>7</v>
      </c>
      <c r="T19" s="18" t="s">
        <v>1</v>
      </c>
      <c r="U19" s="15">
        <f>'Separate same rpm'!Q19*'Separate same rpm'!O19/('Separate same rpm'!N19)</f>
        <v>4.6153846153846159</v>
      </c>
      <c r="V19" s="15">
        <f>'Distances and CWDA - 1 zone'!C56</f>
        <v>15</v>
      </c>
      <c r="X19" s="136"/>
      <c r="Y19" s="111"/>
      <c r="Z19" s="37"/>
      <c r="AA19" s="37"/>
    </row>
    <row r="20" spans="1:27" s="25" customFormat="1" x14ac:dyDescent="0.25">
      <c r="A20" s="1"/>
      <c r="B20" s="1"/>
      <c r="C20" s="26" t="s">
        <v>26</v>
      </c>
      <c r="D20" s="26" t="s">
        <v>51</v>
      </c>
      <c r="E20" s="26" t="s">
        <v>26</v>
      </c>
      <c r="F20" s="26" t="s">
        <v>51</v>
      </c>
      <c r="H20" s="113"/>
      <c r="I20" s="113"/>
      <c r="K20" s="123"/>
      <c r="L20" s="18" t="s">
        <v>2</v>
      </c>
      <c r="M20" s="18">
        <v>11</v>
      </c>
      <c r="N20" s="18">
        <v>10</v>
      </c>
      <c r="O20" s="131"/>
      <c r="P20" s="131"/>
      <c r="Q20" s="134"/>
      <c r="R20" s="1"/>
      <c r="S20" s="127"/>
      <c r="T20" s="18" t="s">
        <v>2</v>
      </c>
      <c r="U20" s="15">
        <f>'Separate same rpm'!Q19*'Separate same rpm'!P19/(('Separate same rpm'!N20+'Separate same rpm'!N21))</f>
        <v>4.615384615384615</v>
      </c>
      <c r="V20" s="15">
        <f>'Distances and CWDA - 1 zone'!C57</f>
        <v>2.7272727272727275</v>
      </c>
      <c r="X20" s="136"/>
      <c r="Y20" s="111"/>
      <c r="Z20" s="37"/>
      <c r="AA20" s="37"/>
    </row>
    <row r="21" spans="1:27" s="25" customFormat="1" x14ac:dyDescent="0.25">
      <c r="A21" s="27" t="s">
        <v>7</v>
      </c>
      <c r="B21" s="28" t="s">
        <v>24</v>
      </c>
      <c r="C21" s="29">
        <f>U4*$N$4</f>
        <v>28.636363636363633</v>
      </c>
      <c r="D21" s="29">
        <f>V4*$N$4</f>
        <v>27.666666666666664</v>
      </c>
      <c r="E21" s="30">
        <f>C21/$O$4</f>
        <v>0.40909090909090906</v>
      </c>
      <c r="F21" s="30">
        <f>D21/$O$4</f>
        <v>0.39523809523809522</v>
      </c>
      <c r="H21" s="56"/>
      <c r="I21" s="56"/>
      <c r="K21" s="123"/>
      <c r="L21" s="18" t="s">
        <v>4</v>
      </c>
      <c r="M21" s="18">
        <v>3</v>
      </c>
      <c r="N21" s="18">
        <v>1</v>
      </c>
      <c r="O21" s="132"/>
      <c r="P21" s="132"/>
      <c r="Q21" s="135"/>
      <c r="R21" s="1"/>
      <c r="S21" s="127"/>
      <c r="T21" s="18" t="s">
        <v>4</v>
      </c>
      <c r="U21" s="15">
        <f>'Separate same rpm'!Q19*'Separate same rpm'!P19/(('Separate same rpm'!N20+'Separate same rpm'!N21))</f>
        <v>4.615384615384615</v>
      </c>
      <c r="V21" s="15">
        <f>'Distances and CWDA - 1 zone'!C58</f>
        <v>2.7272727272727275</v>
      </c>
      <c r="X21" s="136"/>
      <c r="Y21" s="111"/>
      <c r="Z21" s="37"/>
      <c r="AA21" s="37"/>
    </row>
    <row r="22" spans="1:27" s="25" customFormat="1" x14ac:dyDescent="0.25">
      <c r="A22" s="27" t="s">
        <v>8</v>
      </c>
      <c r="B22" s="28" t="s">
        <v>25</v>
      </c>
      <c r="C22" s="29">
        <f>U11*$N$11</f>
        <v>24.375</v>
      </c>
      <c r="D22" s="29">
        <f>V11*$N$11</f>
        <v>25.35</v>
      </c>
      <c r="E22" s="30">
        <f>C22/$O$9</f>
        <v>0.375</v>
      </c>
      <c r="F22" s="30">
        <f>D22/$O$9</f>
        <v>0.39</v>
      </c>
      <c r="H22" s="56"/>
      <c r="I22" s="56"/>
      <c r="L22" s="1"/>
      <c r="M22" s="1"/>
      <c r="N22" s="1"/>
      <c r="O22" s="31"/>
      <c r="P22" s="31"/>
      <c r="Q22" s="32"/>
      <c r="R22" s="1"/>
      <c r="S22" s="1"/>
      <c r="T22" s="1"/>
      <c r="U22" s="33"/>
      <c r="V22" s="33"/>
      <c r="X22" s="111"/>
      <c r="Y22" s="111"/>
      <c r="Z22" s="36"/>
      <c r="AA22" s="36"/>
    </row>
    <row r="23" spans="1:27" x14ac:dyDescent="0.25">
      <c r="G23" s="43"/>
      <c r="H23" s="24"/>
      <c r="K23" s="123" t="s">
        <v>8</v>
      </c>
      <c r="L23" s="34" t="s">
        <v>5</v>
      </c>
      <c r="M23" s="18">
        <v>13</v>
      </c>
      <c r="N23" s="18">
        <v>12</v>
      </c>
      <c r="O23" s="130">
        <f>N23/SUM(N23:N24)</f>
        <v>0.8</v>
      </c>
      <c r="P23" s="130">
        <f>1-O23</f>
        <v>0.19999999999999996</v>
      </c>
      <c r="Q23" s="133">
        <f>'Separate same rpm'!O9-O26</f>
        <v>75</v>
      </c>
      <c r="S23" s="127" t="s">
        <v>8</v>
      </c>
      <c r="T23" s="18" t="s">
        <v>5</v>
      </c>
      <c r="U23" s="15">
        <f>'Separate same rpm'!Q23*'Separate same rpm'!O23/(('Separate same rpm'!N23))</f>
        <v>5</v>
      </c>
      <c r="V23" s="15">
        <f>'Distances and CWDA - 1 zone'!F56</f>
        <v>3.125</v>
      </c>
      <c r="X23" s="136"/>
      <c r="Y23" s="111"/>
      <c r="Z23" s="37"/>
      <c r="AA23" s="37"/>
    </row>
    <row r="24" spans="1:27" x14ac:dyDescent="0.25">
      <c r="K24" s="123"/>
      <c r="L24" s="34" t="s">
        <v>9</v>
      </c>
      <c r="M24" s="18">
        <v>3</v>
      </c>
      <c r="N24" s="18">
        <v>3</v>
      </c>
      <c r="O24" s="132"/>
      <c r="P24" s="132"/>
      <c r="Q24" s="135"/>
      <c r="S24" s="127"/>
      <c r="T24" s="18" t="s">
        <v>9</v>
      </c>
      <c r="U24" s="15">
        <f>'Separate same rpm'!Q23*'Separate same rpm'!P23/('Separate same rpm'!N24)</f>
        <v>4.9999999999999991</v>
      </c>
      <c r="V24" s="15">
        <f>'Distances and CWDA - 1 zone'!F57</f>
        <v>12.5</v>
      </c>
      <c r="X24" s="136"/>
      <c r="Y24" s="111"/>
      <c r="Z24" s="37"/>
      <c r="AA24" s="37"/>
    </row>
    <row r="25" spans="1:27" ht="15.75" thickBot="1" x14ac:dyDescent="0.3">
      <c r="U25" s="35"/>
      <c r="V25" s="35"/>
      <c r="X25" s="111"/>
      <c r="Y25" s="111"/>
      <c r="Z25" s="111"/>
      <c r="AA25" s="111"/>
    </row>
    <row r="26" spans="1:27" ht="15.75" thickBot="1" x14ac:dyDescent="0.3">
      <c r="K26" s="47" t="s">
        <v>28</v>
      </c>
      <c r="L26" s="47"/>
      <c r="M26" s="47"/>
      <c r="N26" s="47"/>
      <c r="O26" s="48">
        <v>-10</v>
      </c>
      <c r="S26" s="121" t="s">
        <v>32</v>
      </c>
      <c r="T26" s="122"/>
      <c r="U26" s="122"/>
      <c r="V26" s="122"/>
      <c r="W26" s="122"/>
      <c r="X26" s="140"/>
      <c r="Y26" s="140"/>
      <c r="Z26" s="140"/>
      <c r="AA26" s="140"/>
    </row>
    <row r="27" spans="1:27" x14ac:dyDescent="0.25">
      <c r="K27" s="43" t="s">
        <v>27</v>
      </c>
    </row>
    <row r="28" spans="1:27" ht="30" x14ac:dyDescent="0.25">
      <c r="K28" s="102" t="s">
        <v>49</v>
      </c>
      <c r="L28" s="62"/>
      <c r="M28" s="62"/>
      <c r="N28" s="103"/>
      <c r="O28" s="23"/>
      <c r="P28" s="23"/>
      <c r="Q28" s="23"/>
      <c r="U28" s="50" t="s">
        <v>13</v>
      </c>
      <c r="V28" s="50" t="s">
        <v>51</v>
      </c>
      <c r="Z28" s="50" t="s">
        <v>13</v>
      </c>
      <c r="AA28" s="50" t="s">
        <v>51</v>
      </c>
    </row>
    <row r="29" spans="1:27" x14ac:dyDescent="0.25">
      <c r="N29" s="23"/>
      <c r="O29" s="36"/>
      <c r="P29" s="37"/>
      <c r="Q29" s="23"/>
      <c r="S29" s="127" t="s">
        <v>7</v>
      </c>
      <c r="T29" s="17" t="s">
        <v>1</v>
      </c>
      <c r="U29" s="21">
        <f>U19*N19</f>
        <v>9.2307692307692317</v>
      </c>
      <c r="V29" s="21">
        <f>V19*N19</f>
        <v>30</v>
      </c>
      <c r="X29" s="127" t="s">
        <v>8</v>
      </c>
      <c r="Y29" s="17" t="s">
        <v>5</v>
      </c>
      <c r="Z29" s="21">
        <f>U23*N23</f>
        <v>60</v>
      </c>
      <c r="AA29" s="38">
        <f>V23*N23</f>
        <v>37.5</v>
      </c>
    </row>
    <row r="30" spans="1:27" x14ac:dyDescent="0.25">
      <c r="N30" s="23"/>
      <c r="O30" s="23"/>
      <c r="P30" s="23"/>
      <c r="Q30" s="23"/>
      <c r="S30" s="127"/>
      <c r="T30" s="17" t="s">
        <v>2</v>
      </c>
      <c r="U30" s="21">
        <f t="shared" ref="U30:U31" si="4">U20*N20</f>
        <v>46.153846153846146</v>
      </c>
      <c r="V30" s="21">
        <f t="shared" ref="V30:V31" si="5">V20*N20</f>
        <v>27.272727272727273</v>
      </c>
      <c r="X30" s="127"/>
      <c r="Y30" s="17" t="s">
        <v>9</v>
      </c>
      <c r="Z30" s="21">
        <f>U24*N24</f>
        <v>14.999999999999996</v>
      </c>
      <c r="AA30" s="38">
        <f>V24*N24</f>
        <v>37.5</v>
      </c>
    </row>
    <row r="31" spans="1:27" x14ac:dyDescent="0.25">
      <c r="N31" s="23"/>
      <c r="O31" s="23"/>
      <c r="P31" s="37"/>
      <c r="Q31" s="23"/>
      <c r="S31" s="127"/>
      <c r="T31" s="17" t="s">
        <v>4</v>
      </c>
      <c r="U31" s="21">
        <f t="shared" si="4"/>
        <v>4.615384615384615</v>
      </c>
      <c r="V31" s="21">
        <f t="shared" si="5"/>
        <v>2.7272727272727275</v>
      </c>
    </row>
    <row r="32" spans="1:27" x14ac:dyDescent="0.25">
      <c r="N32" s="23"/>
      <c r="O32" s="23"/>
      <c r="P32" s="37"/>
      <c r="Q32" s="23"/>
      <c r="Y32" s="49" t="s">
        <v>29</v>
      </c>
      <c r="Z32" s="4">
        <f>SUM(Z29:Z30)</f>
        <v>75</v>
      </c>
      <c r="AA32" s="4">
        <f>SUM(AA29:AA30)</f>
        <v>75</v>
      </c>
    </row>
    <row r="33" spans="14:27" x14ac:dyDescent="0.25">
      <c r="N33" s="23"/>
      <c r="O33" s="23"/>
      <c r="P33" s="36"/>
      <c r="Q33" s="44"/>
      <c r="T33" s="49" t="s">
        <v>29</v>
      </c>
      <c r="U33" s="39">
        <f>SUM(U29:U31)</f>
        <v>59.999999999999993</v>
      </c>
      <c r="V33" s="4">
        <f>SUM(V29:V31)</f>
        <v>60</v>
      </c>
    </row>
    <row r="34" spans="14:27" x14ac:dyDescent="0.25">
      <c r="Y34" s="49" t="s">
        <v>30</v>
      </c>
      <c r="Z34" s="40">
        <f>O26</f>
        <v>-10</v>
      </c>
      <c r="AA34" s="40">
        <f>O26</f>
        <v>-10</v>
      </c>
    </row>
    <row r="35" spans="14:27" x14ac:dyDescent="0.25">
      <c r="T35" s="49" t="s">
        <v>30</v>
      </c>
      <c r="U35" s="40">
        <f>-O26</f>
        <v>10</v>
      </c>
      <c r="V35" s="40">
        <f>-O26</f>
        <v>10</v>
      </c>
    </row>
    <row r="36" spans="14:27" x14ac:dyDescent="0.25">
      <c r="Y36" s="49" t="s">
        <v>33</v>
      </c>
      <c r="Z36" s="4">
        <f>Z32+Z34</f>
        <v>65</v>
      </c>
      <c r="AA36" s="4">
        <f>AA34+AA32</f>
        <v>65</v>
      </c>
    </row>
    <row r="37" spans="14:27" x14ac:dyDescent="0.25">
      <c r="T37" s="49" t="s">
        <v>33</v>
      </c>
      <c r="U37" s="39">
        <f>U33+U35</f>
        <v>70</v>
      </c>
      <c r="V37" s="4">
        <f>V33+V35</f>
        <v>70</v>
      </c>
    </row>
  </sheetData>
  <mergeCells count="37">
    <mergeCell ref="X1:AF1"/>
    <mergeCell ref="X4:X7"/>
    <mergeCell ref="AC4:AC6"/>
    <mergeCell ref="K16:Q16"/>
    <mergeCell ref="S26:AA26"/>
    <mergeCell ref="K19:K21"/>
    <mergeCell ref="X17:AA17"/>
    <mergeCell ref="S29:S31"/>
    <mergeCell ref="X29:X30"/>
    <mergeCell ref="X18:Y18"/>
    <mergeCell ref="C19:D19"/>
    <mergeCell ref="O19:O21"/>
    <mergeCell ref="Q19:Q21"/>
    <mergeCell ref="Q23:Q24"/>
    <mergeCell ref="X19:X21"/>
    <mergeCell ref="X23:X24"/>
    <mergeCell ref="P19:P21"/>
    <mergeCell ref="P23:P24"/>
    <mergeCell ref="S23:S24"/>
    <mergeCell ref="K23:K24"/>
    <mergeCell ref="O23:O24"/>
    <mergeCell ref="S19:S21"/>
    <mergeCell ref="A18:F18"/>
    <mergeCell ref="E19:F19"/>
    <mergeCell ref="K1:Q1"/>
    <mergeCell ref="S1:V1"/>
    <mergeCell ref="K9:K11"/>
    <mergeCell ref="O9:O11"/>
    <mergeCell ref="P9:P11"/>
    <mergeCell ref="P4:P7"/>
    <mergeCell ref="O4:O7"/>
    <mergeCell ref="K4:K7"/>
    <mergeCell ref="Q4:Q7"/>
    <mergeCell ref="Q9:Q11"/>
    <mergeCell ref="S4:S7"/>
    <mergeCell ref="S9:S11"/>
    <mergeCell ref="S16:V16"/>
  </mergeCells>
  <conditionalFormatting sqref="O26">
    <cfRule type="cellIs" dxfId="3" priority="1" operator="notEqual">
      <formula>0</formula>
    </cfRule>
    <cfRule type="cellIs" dxfId="2" priority="2" operator="equal">
      <formula>0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39997558519241921"/>
  </sheetPr>
  <dimension ref="A1:AF37"/>
  <sheetViews>
    <sheetView zoomScale="85" zoomScaleNormal="85" workbookViewId="0"/>
  </sheetViews>
  <sheetFormatPr baseColWidth="10" defaultColWidth="11.42578125" defaultRowHeight="15" x14ac:dyDescent="0.25"/>
  <cols>
    <col min="1" max="7" width="11.42578125" style="1"/>
    <col min="8" max="8" width="15.28515625" style="1" bestFit="1" customWidth="1"/>
    <col min="9" max="9" width="11.42578125" style="1" customWidth="1"/>
    <col min="10" max="10" width="7" style="1" customWidth="1"/>
    <col min="11" max="12" width="11.5703125" style="1" customWidth="1"/>
    <col min="13" max="13" width="13" style="1" customWidth="1"/>
    <col min="14" max="14" width="17.85546875" style="1" bestFit="1" customWidth="1"/>
    <col min="15" max="15" width="14" style="1" customWidth="1"/>
    <col min="16" max="16" width="11.140625" style="1" customWidth="1"/>
    <col min="17" max="17" width="11.42578125" style="1"/>
    <col min="18" max="18" width="4.7109375" style="1" customWidth="1"/>
    <col min="19" max="19" width="11.42578125" style="1"/>
    <col min="20" max="20" width="17.85546875" style="1" bestFit="1" customWidth="1"/>
    <col min="21" max="22" width="11.42578125" style="1"/>
    <col min="23" max="23" width="5.7109375" style="1" customWidth="1"/>
    <col min="24" max="24" width="11.42578125" style="1" customWidth="1"/>
    <col min="25" max="25" width="18.85546875" style="1" customWidth="1"/>
    <col min="26" max="26" width="14.7109375" style="1" bestFit="1" customWidth="1"/>
    <col min="27" max="30" width="11.42578125" style="1"/>
    <col min="31" max="31" width="14.7109375" style="1" bestFit="1" customWidth="1"/>
    <col min="32" max="16384" width="11.42578125" style="1"/>
  </cols>
  <sheetData>
    <row r="1" spans="1:32" ht="19.5" thickBot="1" x14ac:dyDescent="0.3">
      <c r="A1" s="16" t="s">
        <v>0</v>
      </c>
      <c r="K1" s="118" t="s">
        <v>12</v>
      </c>
      <c r="L1" s="119"/>
      <c r="M1" s="119"/>
      <c r="N1" s="119"/>
      <c r="O1" s="119"/>
      <c r="P1" s="119"/>
      <c r="Q1" s="120"/>
      <c r="S1" s="121" t="s">
        <v>53</v>
      </c>
      <c r="T1" s="122"/>
      <c r="U1" s="122"/>
      <c r="V1" s="122"/>
      <c r="X1" s="121" t="s">
        <v>32</v>
      </c>
      <c r="Y1" s="122"/>
      <c r="Z1" s="122"/>
      <c r="AA1" s="122"/>
      <c r="AB1" s="122"/>
      <c r="AC1" s="122"/>
      <c r="AD1" s="122"/>
      <c r="AE1" s="122"/>
      <c r="AF1" s="122"/>
    </row>
    <row r="3" spans="1:32" ht="30" x14ac:dyDescent="0.25">
      <c r="M3" s="46" t="s">
        <v>15</v>
      </c>
      <c r="N3" s="46" t="s">
        <v>14</v>
      </c>
      <c r="O3" s="46" t="s">
        <v>31</v>
      </c>
      <c r="P3" s="46" t="s">
        <v>10</v>
      </c>
      <c r="Q3" s="46" t="s">
        <v>11</v>
      </c>
      <c r="U3" s="50" t="s">
        <v>13</v>
      </c>
      <c r="V3" s="50" t="s">
        <v>51</v>
      </c>
      <c r="Z3" s="106" t="s">
        <v>13</v>
      </c>
      <c r="AA3" s="106" t="s">
        <v>51</v>
      </c>
      <c r="AE3" s="106" t="s">
        <v>13</v>
      </c>
      <c r="AF3" s="106" t="s">
        <v>51</v>
      </c>
    </row>
    <row r="4" spans="1:32" x14ac:dyDescent="0.25">
      <c r="K4" s="126" t="s">
        <v>7</v>
      </c>
      <c r="L4" s="18" t="s">
        <v>3</v>
      </c>
      <c r="M4" s="18">
        <v>10</v>
      </c>
      <c r="N4" s="18">
        <v>9</v>
      </c>
      <c r="O4" s="124">
        <v>70</v>
      </c>
      <c r="P4" s="125">
        <f>ROUND((N4+N5)/SUM(N4:N7),2)</f>
        <v>0.5</v>
      </c>
      <c r="Q4" s="125">
        <f>1-P4</f>
        <v>0.5</v>
      </c>
      <c r="S4" s="127" t="s">
        <v>7</v>
      </c>
      <c r="T4" s="18" t="s">
        <v>3</v>
      </c>
      <c r="U4" s="15">
        <f>O4*P4/(('Joint same rpm'!N4+'Joint same rpm'!N5))</f>
        <v>3.1818181818181817</v>
      </c>
      <c r="V4" s="15">
        <f>'Distances and CWDA - 2 zones'!C60</f>
        <v>3.074074074074074</v>
      </c>
      <c r="X4" s="127" t="s">
        <v>7</v>
      </c>
      <c r="Y4" s="59" t="s">
        <v>3</v>
      </c>
      <c r="Z4" s="105">
        <f>U4*N4</f>
        <v>28.636363636363633</v>
      </c>
      <c r="AA4" s="105">
        <f>V4*N4</f>
        <v>27.666666666666664</v>
      </c>
      <c r="AC4" s="138" t="s">
        <v>8</v>
      </c>
      <c r="AD4" s="59" t="s">
        <v>3</v>
      </c>
      <c r="AE4" s="105">
        <f>U9*N9</f>
        <v>32.5</v>
      </c>
      <c r="AF4" s="105">
        <f>V9*N9</f>
        <v>32.5</v>
      </c>
    </row>
    <row r="5" spans="1:32" x14ac:dyDescent="0.25">
      <c r="K5" s="126"/>
      <c r="L5" s="18" t="s">
        <v>1</v>
      </c>
      <c r="M5" s="18">
        <v>4</v>
      </c>
      <c r="N5" s="18">
        <v>2</v>
      </c>
      <c r="O5" s="124"/>
      <c r="P5" s="125"/>
      <c r="Q5" s="125"/>
      <c r="S5" s="127"/>
      <c r="T5" s="18" t="s">
        <v>1</v>
      </c>
      <c r="U5" s="15">
        <f>O4*P4/(('Joint same rpm'!N4+'Joint same rpm'!N5))</f>
        <v>3.1818181818181817</v>
      </c>
      <c r="V5" s="15">
        <f>'Distances and CWDA - 2 zones'!C61</f>
        <v>3.6666666666666674</v>
      </c>
      <c r="X5" s="127"/>
      <c r="Y5" s="59" t="s">
        <v>1</v>
      </c>
      <c r="Z5" s="105">
        <f t="shared" ref="Z5:Z7" si="0">U5*N5</f>
        <v>6.3636363636363633</v>
      </c>
      <c r="AA5" s="105">
        <f t="shared" ref="AA5:AA7" si="1">V5*N5</f>
        <v>7.3333333333333348</v>
      </c>
      <c r="AC5" s="139"/>
      <c r="AD5" s="59" t="s">
        <v>1</v>
      </c>
      <c r="AE5" s="105">
        <f t="shared" ref="AE5:AE6" si="2">U10*N10</f>
        <v>8.125</v>
      </c>
      <c r="AF5" s="105">
        <f t="shared" ref="AF5:AF6" si="3">V10*N10</f>
        <v>7.15</v>
      </c>
    </row>
    <row r="6" spans="1:32" x14ac:dyDescent="0.25">
      <c r="K6" s="126"/>
      <c r="L6" s="18" t="s">
        <v>2</v>
      </c>
      <c r="M6" s="18">
        <v>11</v>
      </c>
      <c r="N6" s="18">
        <v>10</v>
      </c>
      <c r="O6" s="124"/>
      <c r="P6" s="125"/>
      <c r="Q6" s="125"/>
      <c r="S6" s="127"/>
      <c r="T6" s="18" t="s">
        <v>2</v>
      </c>
      <c r="U6" s="15">
        <f>O4*Q4/(('Joint same rpm'!N6+'Joint same rpm'!N7))</f>
        <v>3.1818181818181817</v>
      </c>
      <c r="V6" s="15">
        <f>'Distances and CWDA - 2 zones'!C62</f>
        <v>3</v>
      </c>
      <c r="X6" s="127"/>
      <c r="Y6" s="59" t="s">
        <v>2</v>
      </c>
      <c r="Z6" s="105">
        <f t="shared" si="0"/>
        <v>31.818181818181817</v>
      </c>
      <c r="AA6" s="105">
        <f t="shared" si="1"/>
        <v>30</v>
      </c>
      <c r="AC6" s="139"/>
      <c r="AD6" s="59" t="s">
        <v>2</v>
      </c>
      <c r="AE6" s="105">
        <f t="shared" si="2"/>
        <v>24.375</v>
      </c>
      <c r="AF6" s="105">
        <f t="shared" si="3"/>
        <v>25.35</v>
      </c>
    </row>
    <row r="7" spans="1:32" x14ac:dyDescent="0.25">
      <c r="K7" s="126"/>
      <c r="L7" s="18" t="s">
        <v>4</v>
      </c>
      <c r="M7" s="18">
        <v>3</v>
      </c>
      <c r="N7" s="18">
        <v>1</v>
      </c>
      <c r="O7" s="124"/>
      <c r="P7" s="125"/>
      <c r="Q7" s="125"/>
      <c r="S7" s="127"/>
      <c r="T7" s="18" t="s">
        <v>4</v>
      </c>
      <c r="U7" s="15">
        <f>O4*Q4/(('Joint same rpm'!N6+'Joint same rpm'!N7))</f>
        <v>3.1818181818181817</v>
      </c>
      <c r="V7" s="15">
        <f>'Distances and CWDA - 2 zones'!C63</f>
        <v>5.0000000000000009</v>
      </c>
      <c r="X7" s="127"/>
      <c r="Y7" s="59" t="s">
        <v>4</v>
      </c>
      <c r="Z7" s="105">
        <f t="shared" si="0"/>
        <v>3.1818181818181817</v>
      </c>
      <c r="AA7" s="105">
        <f t="shared" si="1"/>
        <v>5.0000000000000009</v>
      </c>
      <c r="AC7" s="108"/>
      <c r="AD7" s="104"/>
      <c r="AE7" s="107"/>
      <c r="AF7" s="107"/>
    </row>
    <row r="8" spans="1:32" x14ac:dyDescent="0.25">
      <c r="AD8" s="59" t="s">
        <v>50</v>
      </c>
      <c r="AE8" s="105">
        <f>SUM(AE4:AE6)</f>
        <v>65</v>
      </c>
      <c r="AF8" s="105">
        <f>SUM(AF4:AF6)</f>
        <v>65</v>
      </c>
    </row>
    <row r="9" spans="1:32" x14ac:dyDescent="0.25">
      <c r="K9" s="123" t="s">
        <v>8</v>
      </c>
      <c r="L9" s="18" t="s">
        <v>5</v>
      </c>
      <c r="M9" s="18">
        <v>13</v>
      </c>
      <c r="N9" s="18">
        <v>12</v>
      </c>
      <c r="O9" s="124">
        <v>65</v>
      </c>
      <c r="P9" s="125">
        <f>ROUND((N9)/SUM(N9:N11),2)</f>
        <v>0.5</v>
      </c>
      <c r="Q9" s="125">
        <f>1-P9</f>
        <v>0.5</v>
      </c>
      <c r="S9" s="127" t="s">
        <v>8</v>
      </c>
      <c r="T9" s="18" t="s">
        <v>5</v>
      </c>
      <c r="U9" s="15">
        <f>O9*P9/((N9))</f>
        <v>2.7083333333333335</v>
      </c>
      <c r="V9" s="15">
        <f>'Distances and CWDA - 2 zones'!F60</f>
        <v>2.7083333333333335</v>
      </c>
      <c r="Y9" s="59" t="s">
        <v>50</v>
      </c>
      <c r="Z9" s="105">
        <f>SUM(Z4:Z7)</f>
        <v>70</v>
      </c>
      <c r="AA9" s="105">
        <f>SUM(AA4:AA7)</f>
        <v>70</v>
      </c>
    </row>
    <row r="10" spans="1:32" x14ac:dyDescent="0.25">
      <c r="K10" s="123"/>
      <c r="L10" s="18" t="s">
        <v>9</v>
      </c>
      <c r="M10" s="18">
        <v>3</v>
      </c>
      <c r="N10" s="18">
        <v>3</v>
      </c>
      <c r="O10" s="124"/>
      <c r="P10" s="125"/>
      <c r="Q10" s="125"/>
      <c r="S10" s="127"/>
      <c r="T10" s="18" t="s">
        <v>9</v>
      </c>
      <c r="U10" s="15">
        <f>O9*Q9/('Joint same rpm'!N10+'Joint same rpm'!N11)</f>
        <v>2.7083333333333335</v>
      </c>
      <c r="V10" s="15">
        <f>'Distances and CWDA - 2 zones'!F61</f>
        <v>2.3833333333333333</v>
      </c>
    </row>
    <row r="11" spans="1:32" x14ac:dyDescent="0.25">
      <c r="K11" s="123"/>
      <c r="L11" s="18" t="s">
        <v>6</v>
      </c>
      <c r="M11" s="18">
        <v>10</v>
      </c>
      <c r="N11" s="18">
        <v>9</v>
      </c>
      <c r="O11" s="124"/>
      <c r="P11" s="125"/>
      <c r="Q11" s="125"/>
      <c r="S11" s="127"/>
      <c r="T11" s="18" t="s">
        <v>6</v>
      </c>
      <c r="U11" s="15">
        <f>O9*Q9/('Joint same rpm'!N10+'Joint same rpm'!N11)</f>
        <v>2.7083333333333335</v>
      </c>
      <c r="V11" s="15">
        <f>'Distances and CWDA - 2 zones'!F62</f>
        <v>2.8166666666666669</v>
      </c>
    </row>
    <row r="13" spans="1:32" x14ac:dyDescent="0.25">
      <c r="K13" s="43" t="s">
        <v>37</v>
      </c>
    </row>
    <row r="14" spans="1:32" x14ac:dyDescent="0.25">
      <c r="K14" s="43" t="s">
        <v>52</v>
      </c>
    </row>
    <row r="15" spans="1:32" ht="15.75" thickBot="1" x14ac:dyDescent="0.3"/>
    <row r="16" spans="1:32" ht="19.5" thickBot="1" x14ac:dyDescent="0.3">
      <c r="A16" s="16" t="s">
        <v>45</v>
      </c>
      <c r="K16" s="118" t="s">
        <v>12</v>
      </c>
      <c r="L16" s="119"/>
      <c r="M16" s="119"/>
      <c r="N16" s="119"/>
      <c r="O16" s="119"/>
      <c r="P16" s="119"/>
      <c r="Q16" s="120"/>
      <c r="S16" s="121" t="s">
        <v>54</v>
      </c>
      <c r="T16" s="122"/>
      <c r="U16" s="122"/>
      <c r="V16" s="142"/>
      <c r="W16" s="110"/>
      <c r="X16" s="110"/>
      <c r="Y16" s="110"/>
      <c r="Z16" s="110"/>
      <c r="AA16" s="110"/>
    </row>
    <row r="17" spans="1:27" x14ac:dyDescent="0.25">
      <c r="X17" s="143"/>
      <c r="Y17" s="143"/>
      <c r="Z17" s="143"/>
      <c r="AA17" s="143"/>
    </row>
    <row r="18" spans="1:27" s="25" customFormat="1" ht="45" x14ac:dyDescent="0.25">
      <c r="A18" s="137" t="s">
        <v>58</v>
      </c>
      <c r="B18" s="137"/>
      <c r="C18" s="137"/>
      <c r="D18" s="137"/>
      <c r="E18" s="137"/>
      <c r="F18" s="137"/>
      <c r="G18" s="109"/>
      <c r="H18" s="145"/>
      <c r="I18" s="143"/>
      <c r="K18" s="1"/>
      <c r="L18" s="1"/>
      <c r="M18" s="46" t="s">
        <v>15</v>
      </c>
      <c r="N18" s="46" t="s">
        <v>14</v>
      </c>
      <c r="O18" s="46" t="s">
        <v>10</v>
      </c>
      <c r="P18" s="46" t="s">
        <v>11</v>
      </c>
      <c r="Q18" s="63" t="s">
        <v>48</v>
      </c>
      <c r="R18" s="1"/>
      <c r="S18" s="1"/>
      <c r="T18" s="1"/>
      <c r="U18" s="50" t="s">
        <v>13</v>
      </c>
      <c r="V18" s="50" t="s">
        <v>51</v>
      </c>
      <c r="X18" s="128"/>
      <c r="Y18" s="129"/>
      <c r="Z18" s="114"/>
      <c r="AA18" s="114"/>
    </row>
    <row r="19" spans="1:27" s="25" customFormat="1" x14ac:dyDescent="0.25">
      <c r="C19" s="117" t="s">
        <v>56</v>
      </c>
      <c r="D19" s="117"/>
      <c r="E19" s="117" t="s">
        <v>57</v>
      </c>
      <c r="F19" s="117"/>
      <c r="H19" s="144"/>
      <c r="I19" s="144"/>
      <c r="K19" s="123" t="s">
        <v>7</v>
      </c>
      <c r="L19" s="18" t="s">
        <v>1</v>
      </c>
      <c r="M19" s="18">
        <v>4</v>
      </c>
      <c r="N19" s="18">
        <v>2</v>
      </c>
      <c r="O19" s="130">
        <f>N19/SUM(N19:N21)</f>
        <v>0.15384615384615385</v>
      </c>
      <c r="P19" s="130">
        <f>1-O19</f>
        <v>0.84615384615384615</v>
      </c>
      <c r="Q19" s="133">
        <f>'Joint same rpm'!O4</f>
        <v>70</v>
      </c>
      <c r="R19" s="1"/>
      <c r="S19" s="127" t="s">
        <v>7</v>
      </c>
      <c r="T19" s="18" t="s">
        <v>1</v>
      </c>
      <c r="U19" s="15">
        <f>Q26*O26/N26</f>
        <v>4.8214285714285712</v>
      </c>
      <c r="V19" s="15">
        <f>'Distances and CWDA - 1 zone'!M56</f>
        <v>3.0250439367311062</v>
      </c>
      <c r="X19" s="136"/>
      <c r="Y19" s="111"/>
      <c r="Z19" s="37"/>
      <c r="AA19" s="37"/>
    </row>
    <row r="20" spans="1:27" s="25" customFormat="1" x14ac:dyDescent="0.25">
      <c r="A20" s="1"/>
      <c r="B20" s="1"/>
      <c r="C20" s="26" t="s">
        <v>26</v>
      </c>
      <c r="D20" s="26" t="s">
        <v>51</v>
      </c>
      <c r="E20" s="26" t="s">
        <v>26</v>
      </c>
      <c r="F20" s="26" t="s">
        <v>51</v>
      </c>
      <c r="H20" s="113"/>
      <c r="I20" s="113"/>
      <c r="K20" s="123"/>
      <c r="L20" s="18" t="s">
        <v>2</v>
      </c>
      <c r="M20" s="18">
        <v>11</v>
      </c>
      <c r="N20" s="18">
        <v>10</v>
      </c>
      <c r="O20" s="131"/>
      <c r="P20" s="131"/>
      <c r="Q20" s="134"/>
      <c r="R20" s="1"/>
      <c r="S20" s="127"/>
      <c r="T20" s="18" t="s">
        <v>2</v>
      </c>
      <c r="U20" s="15">
        <f>Q26*P26/N27</f>
        <v>4.8214285714285712</v>
      </c>
      <c r="V20" s="15">
        <f>'Distances and CWDA - 1 zone'!M57</f>
        <v>5.1010544815465737</v>
      </c>
      <c r="X20" s="136"/>
      <c r="Y20" s="111"/>
      <c r="Z20" s="37"/>
      <c r="AA20" s="37"/>
    </row>
    <row r="21" spans="1:27" s="25" customFormat="1" x14ac:dyDescent="0.25">
      <c r="A21" s="27" t="s">
        <v>7</v>
      </c>
      <c r="B21" s="28" t="s">
        <v>24</v>
      </c>
      <c r="C21" s="29">
        <f>U4*$N$4</f>
        <v>28.636363636363633</v>
      </c>
      <c r="D21" s="29">
        <f>V4*$N$4</f>
        <v>27.666666666666664</v>
      </c>
      <c r="E21" s="30">
        <f>C21/$O$4</f>
        <v>0.40909090909090906</v>
      </c>
      <c r="F21" s="30">
        <f>D21/$O$4</f>
        <v>0.39523809523809522</v>
      </c>
      <c r="H21" s="56"/>
      <c r="I21" s="56"/>
      <c r="K21" s="123"/>
      <c r="L21" s="18" t="s">
        <v>4</v>
      </c>
      <c r="M21" s="18">
        <v>3</v>
      </c>
      <c r="N21" s="18">
        <v>1</v>
      </c>
      <c r="O21" s="132"/>
      <c r="P21" s="132"/>
      <c r="Q21" s="135"/>
      <c r="R21" s="1"/>
      <c r="S21" s="127"/>
      <c r="T21" s="18" t="s">
        <v>4</v>
      </c>
      <c r="U21" s="15">
        <f>U20</f>
        <v>4.8214285714285712</v>
      </c>
      <c r="V21" s="15">
        <f>'Distances and CWDA - 1 zone'!M58</f>
        <v>6.5246045694200347</v>
      </c>
      <c r="X21" s="136"/>
      <c r="Y21" s="111"/>
      <c r="Z21" s="37"/>
      <c r="AA21" s="37"/>
    </row>
    <row r="22" spans="1:27" s="25" customFormat="1" x14ac:dyDescent="0.25">
      <c r="A22" s="27" t="s">
        <v>8</v>
      </c>
      <c r="B22" s="28" t="s">
        <v>25</v>
      </c>
      <c r="C22" s="29">
        <f>U11*$N$11</f>
        <v>24.375</v>
      </c>
      <c r="D22" s="29">
        <f>V11*$N$11</f>
        <v>25.35</v>
      </c>
      <c r="E22" s="30">
        <f>C22/$O$9</f>
        <v>0.375</v>
      </c>
      <c r="F22" s="30">
        <f>D22/$O$9</f>
        <v>0.39</v>
      </c>
      <c r="H22" s="56"/>
      <c r="I22" s="56"/>
      <c r="L22" s="1"/>
      <c r="M22" s="1"/>
      <c r="N22" s="1"/>
      <c r="O22" s="31"/>
      <c r="P22" s="31"/>
      <c r="Q22" s="32"/>
      <c r="R22" s="1"/>
      <c r="S22" s="1"/>
      <c r="T22" s="1"/>
      <c r="U22" s="33"/>
      <c r="V22" s="33"/>
      <c r="X22" s="111"/>
      <c r="Y22" s="111"/>
      <c r="Z22" s="36"/>
      <c r="AA22" s="36"/>
    </row>
    <row r="23" spans="1:27" x14ac:dyDescent="0.25">
      <c r="H23" s="115"/>
      <c r="I23" s="116"/>
      <c r="K23" s="123" t="s">
        <v>8</v>
      </c>
      <c r="L23" s="34" t="s">
        <v>5</v>
      </c>
      <c r="M23" s="18">
        <v>13</v>
      </c>
      <c r="N23" s="18">
        <v>12</v>
      </c>
      <c r="O23" s="130">
        <f>N23/SUM(N23:N24)</f>
        <v>0.8</v>
      </c>
      <c r="P23" s="130">
        <f>1-O23</f>
        <v>0.19999999999999996</v>
      </c>
      <c r="Q23" s="133">
        <f>'Joint same rpm'!O9</f>
        <v>65</v>
      </c>
      <c r="S23" s="127" t="s">
        <v>8</v>
      </c>
      <c r="T23" s="18" t="s">
        <v>5</v>
      </c>
      <c r="U23" s="15">
        <f>U19</f>
        <v>4.8214285714285712</v>
      </c>
      <c r="V23" s="15">
        <f>'Distances and CWDA - 1 zone'!P56</f>
        <v>5.1208260105448149</v>
      </c>
      <c r="X23" s="136"/>
      <c r="Y23" s="111"/>
      <c r="Z23" s="37"/>
      <c r="AA23" s="37"/>
    </row>
    <row r="24" spans="1:27" x14ac:dyDescent="0.25">
      <c r="K24" s="123"/>
      <c r="L24" s="34" t="s">
        <v>9</v>
      </c>
      <c r="M24" s="18">
        <v>3</v>
      </c>
      <c r="N24" s="18">
        <v>3</v>
      </c>
      <c r="O24" s="132"/>
      <c r="P24" s="132"/>
      <c r="Q24" s="135"/>
      <c r="S24" s="127"/>
      <c r="T24" s="18" t="s">
        <v>9</v>
      </c>
      <c r="U24" s="15">
        <f>U20</f>
        <v>4.8214285714285712</v>
      </c>
      <c r="V24" s="15">
        <f>'Distances and CWDA - 1 zone'!P57</f>
        <v>3.3216168717047458</v>
      </c>
      <c r="X24" s="136"/>
      <c r="Y24" s="111"/>
      <c r="Z24" s="37"/>
      <c r="AA24" s="37"/>
    </row>
    <row r="25" spans="1:27" ht="15.75" thickBot="1" x14ac:dyDescent="0.3">
      <c r="K25" s="58"/>
      <c r="L25" s="55"/>
      <c r="M25" s="55"/>
      <c r="N25" s="55"/>
      <c r="O25" s="56"/>
      <c r="P25" s="56"/>
      <c r="Q25" s="57"/>
      <c r="U25" s="35"/>
      <c r="V25" s="35"/>
    </row>
    <row r="26" spans="1:27" ht="15.75" thickBot="1" x14ac:dyDescent="0.3">
      <c r="K26" s="123" t="s">
        <v>29</v>
      </c>
      <c r="L26" s="59" t="s">
        <v>18</v>
      </c>
      <c r="M26" s="59">
        <f>M19+M23</f>
        <v>17</v>
      </c>
      <c r="N26" s="59">
        <f>N19+N23</f>
        <v>14</v>
      </c>
      <c r="O26" s="130">
        <f>N26/(N26+N27)</f>
        <v>0.5</v>
      </c>
      <c r="P26" s="130">
        <f>1-O26</f>
        <v>0.5</v>
      </c>
      <c r="Q26" s="133">
        <f>Q19+Q23</f>
        <v>135</v>
      </c>
      <c r="S26" s="121" t="s">
        <v>32</v>
      </c>
      <c r="T26" s="122"/>
      <c r="U26" s="122"/>
      <c r="V26" s="122"/>
      <c r="W26" s="122"/>
      <c r="X26" s="122"/>
      <c r="Y26" s="122"/>
      <c r="Z26" s="122"/>
      <c r="AA26" s="122"/>
    </row>
    <row r="27" spans="1:27" x14ac:dyDescent="0.25">
      <c r="K27" s="123"/>
      <c r="L27" s="59" t="s">
        <v>19</v>
      </c>
      <c r="M27" s="59">
        <f>M20+M21+M24</f>
        <v>17</v>
      </c>
      <c r="N27" s="59">
        <f>N20+N21+N24</f>
        <v>14</v>
      </c>
      <c r="O27" s="132"/>
      <c r="P27" s="132"/>
      <c r="Q27" s="135"/>
    </row>
    <row r="28" spans="1:27" ht="30" x14ac:dyDescent="0.25">
      <c r="O28" s="60" t="s">
        <v>13</v>
      </c>
      <c r="P28" s="1" t="s">
        <v>51</v>
      </c>
      <c r="U28" s="50" t="s">
        <v>13</v>
      </c>
      <c r="V28" s="50" t="s">
        <v>51</v>
      </c>
      <c r="Z28" s="50" t="s">
        <v>13</v>
      </c>
      <c r="AA28" s="50" t="s">
        <v>51</v>
      </c>
    </row>
    <row r="29" spans="1:27" x14ac:dyDescent="0.25">
      <c r="K29" s="47" t="s">
        <v>28</v>
      </c>
      <c r="L29" s="47"/>
      <c r="M29" s="47"/>
      <c r="N29" s="47"/>
      <c r="O29" s="64">
        <f>U33-$Q$19</f>
        <v>-7.3214285714285836</v>
      </c>
      <c r="P29" s="64">
        <f>V33-$Q$19</f>
        <v>-6.4147627416520194</v>
      </c>
      <c r="S29" s="127" t="s">
        <v>7</v>
      </c>
      <c r="T29" s="17" t="s">
        <v>1</v>
      </c>
      <c r="U29" s="21">
        <f>U19*N19</f>
        <v>9.6428571428571423</v>
      </c>
      <c r="V29" s="21">
        <f>V19*N19</f>
        <v>6.0500878734622123</v>
      </c>
      <c r="X29" s="127" t="s">
        <v>8</v>
      </c>
      <c r="Y29" s="17" t="s">
        <v>5</v>
      </c>
      <c r="Z29" s="21">
        <f>U23*N23</f>
        <v>57.857142857142854</v>
      </c>
      <c r="AA29" s="38">
        <f>V23*N23</f>
        <v>61.449912126537782</v>
      </c>
    </row>
    <row r="30" spans="1:27" x14ac:dyDescent="0.25">
      <c r="K30" s="102" t="s">
        <v>55</v>
      </c>
      <c r="L30" s="62"/>
      <c r="M30" s="62"/>
      <c r="N30" s="62"/>
      <c r="S30" s="127"/>
      <c r="T30" s="17" t="s">
        <v>2</v>
      </c>
      <c r="U30" s="21">
        <f t="shared" ref="U30:U31" si="4">U20*N20</f>
        <v>48.214285714285708</v>
      </c>
      <c r="V30" s="21">
        <f t="shared" ref="V30:V31" si="5">V20*N20</f>
        <v>51.010544815465735</v>
      </c>
      <c r="X30" s="127"/>
      <c r="Y30" s="17" t="s">
        <v>9</v>
      </c>
      <c r="Z30" s="21">
        <f>U24*N24</f>
        <v>14.464285714285714</v>
      </c>
      <c r="AA30" s="38">
        <f>V24*N24</f>
        <v>9.9648506151142371</v>
      </c>
    </row>
    <row r="31" spans="1:27" x14ac:dyDescent="0.25">
      <c r="P31" s="42"/>
      <c r="Q31" s="42"/>
      <c r="S31" s="127"/>
      <c r="T31" s="17" t="s">
        <v>4</v>
      </c>
      <c r="U31" s="21">
        <f t="shared" si="4"/>
        <v>4.8214285714285712</v>
      </c>
      <c r="V31" s="21">
        <f t="shared" si="5"/>
        <v>6.5246045694200347</v>
      </c>
    </row>
    <row r="32" spans="1:27" x14ac:dyDescent="0.25">
      <c r="N32" s="42"/>
      <c r="O32" s="36"/>
      <c r="P32" s="37"/>
      <c r="Q32" s="42"/>
      <c r="Y32" s="49" t="s">
        <v>29</v>
      </c>
      <c r="Z32" s="21">
        <f>SUM(Z29:Z30)</f>
        <v>72.321428571428569</v>
      </c>
      <c r="AA32" s="21">
        <f>SUM(AA29:AA30)</f>
        <v>71.414762741652027</v>
      </c>
    </row>
    <row r="33" spans="14:27" x14ac:dyDescent="0.25">
      <c r="N33" s="42"/>
      <c r="O33" s="42"/>
      <c r="P33" s="42"/>
      <c r="Q33" s="42"/>
      <c r="T33" s="49" t="s">
        <v>29</v>
      </c>
      <c r="U33" s="65">
        <f>SUM(U29:U31)</f>
        <v>62.678571428571416</v>
      </c>
      <c r="V33" s="21">
        <f>SUM(V29:V31)</f>
        <v>63.585237258347981</v>
      </c>
    </row>
    <row r="34" spans="14:27" x14ac:dyDescent="0.25">
      <c r="N34" s="42"/>
      <c r="O34" s="42"/>
      <c r="P34" s="37"/>
      <c r="Q34" s="42"/>
      <c r="Y34" s="49" t="s">
        <v>30</v>
      </c>
      <c r="Z34" s="40">
        <f>O29</f>
        <v>-7.3214285714285836</v>
      </c>
      <c r="AA34" s="40">
        <f>P29</f>
        <v>-6.4147627416520194</v>
      </c>
    </row>
    <row r="35" spans="14:27" x14ac:dyDescent="0.25">
      <c r="N35" s="42"/>
      <c r="O35" s="42"/>
      <c r="P35" s="37"/>
      <c r="Q35" s="42"/>
      <c r="T35" s="49" t="s">
        <v>30</v>
      </c>
      <c r="U35" s="40">
        <f>-O29</f>
        <v>7.3214285714285836</v>
      </c>
      <c r="V35" s="40">
        <f>-P29</f>
        <v>6.4147627416520194</v>
      </c>
    </row>
    <row r="36" spans="14:27" x14ac:dyDescent="0.25">
      <c r="N36" s="42"/>
      <c r="O36" s="42"/>
      <c r="P36" s="36"/>
      <c r="Q36" s="44"/>
      <c r="Y36" s="49" t="s">
        <v>33</v>
      </c>
      <c r="Z36" s="4">
        <f>Z32+Z34</f>
        <v>64.999999999999986</v>
      </c>
      <c r="AA36" s="4">
        <f>AA34+AA32</f>
        <v>65</v>
      </c>
    </row>
    <row r="37" spans="14:27" x14ac:dyDescent="0.25">
      <c r="T37" s="49" t="s">
        <v>33</v>
      </c>
      <c r="U37" s="39">
        <f>U33+U35</f>
        <v>70</v>
      </c>
      <c r="V37" s="4">
        <f>V33+V35</f>
        <v>70</v>
      </c>
    </row>
  </sheetData>
  <mergeCells count="43">
    <mergeCell ref="X4:X7"/>
    <mergeCell ref="AC4:AC6"/>
    <mergeCell ref="X1:AF1"/>
    <mergeCell ref="K16:Q16"/>
    <mergeCell ref="K1:Q1"/>
    <mergeCell ref="S1:V1"/>
    <mergeCell ref="K4:K7"/>
    <mergeCell ref="O4:O7"/>
    <mergeCell ref="P4:P7"/>
    <mergeCell ref="Q4:Q7"/>
    <mergeCell ref="S4:S7"/>
    <mergeCell ref="K9:K11"/>
    <mergeCell ref="O9:O11"/>
    <mergeCell ref="P9:P11"/>
    <mergeCell ref="Q9:Q11"/>
    <mergeCell ref="S9:S11"/>
    <mergeCell ref="X18:Y18"/>
    <mergeCell ref="C19:D19"/>
    <mergeCell ref="E19:F19"/>
    <mergeCell ref="K19:K21"/>
    <mergeCell ref="O19:O21"/>
    <mergeCell ref="P19:P21"/>
    <mergeCell ref="Q19:Q21"/>
    <mergeCell ref="S19:S21"/>
    <mergeCell ref="X19:X21"/>
    <mergeCell ref="S16:V16"/>
    <mergeCell ref="X17:AA17"/>
    <mergeCell ref="H19:I19"/>
    <mergeCell ref="A18:F18"/>
    <mergeCell ref="H18:I18"/>
    <mergeCell ref="S26:AA26"/>
    <mergeCell ref="S29:S31"/>
    <mergeCell ref="X29:X30"/>
    <mergeCell ref="K23:K24"/>
    <mergeCell ref="O23:O24"/>
    <mergeCell ref="P23:P24"/>
    <mergeCell ref="Q23:Q24"/>
    <mergeCell ref="S23:S24"/>
    <mergeCell ref="X23:X24"/>
    <mergeCell ref="K26:K27"/>
    <mergeCell ref="O26:O27"/>
    <mergeCell ref="P26:P27"/>
    <mergeCell ref="Q26:Q27"/>
  </mergeCells>
  <conditionalFormatting sqref="O29:P29">
    <cfRule type="cellIs" dxfId="1" priority="1" operator="notEqual">
      <formula>0</formula>
    </cfRule>
    <cfRule type="cellIs" dxfId="0" priority="2" operator="equal">
      <formula>0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59999389629810485"/>
  </sheetPr>
  <dimension ref="A1:N63"/>
  <sheetViews>
    <sheetView zoomScale="80" zoomScaleNormal="80" workbookViewId="0"/>
  </sheetViews>
  <sheetFormatPr baseColWidth="10" defaultColWidth="11.42578125" defaultRowHeight="15" x14ac:dyDescent="0.25"/>
  <cols>
    <col min="1" max="11" width="11.42578125" style="1"/>
    <col min="12" max="12" width="12.85546875" style="1" customWidth="1"/>
    <col min="13" max="16384" width="11.42578125" style="1"/>
  </cols>
  <sheetData>
    <row r="1" spans="1:14" ht="18.75" x14ac:dyDescent="0.25">
      <c r="A1" s="16" t="s">
        <v>16</v>
      </c>
      <c r="K1" s="16" t="s">
        <v>39</v>
      </c>
    </row>
    <row r="3" spans="1:14" x14ac:dyDescent="0.25">
      <c r="K3" s="146" t="s">
        <v>7</v>
      </c>
      <c r="M3" s="45" t="s">
        <v>2</v>
      </c>
      <c r="N3" s="45" t="s">
        <v>4</v>
      </c>
    </row>
    <row r="4" spans="1:14" x14ac:dyDescent="0.25">
      <c r="K4" s="146"/>
      <c r="L4" s="45" t="s">
        <v>3</v>
      </c>
      <c r="M4" s="17">
        <v>350</v>
      </c>
      <c r="N4" s="18">
        <v>650</v>
      </c>
    </row>
    <row r="5" spans="1:14" x14ac:dyDescent="0.25">
      <c r="K5" s="146"/>
      <c r="L5" s="45" t="s">
        <v>1</v>
      </c>
      <c r="M5" s="17">
        <v>450</v>
      </c>
      <c r="N5" s="18">
        <v>450</v>
      </c>
    </row>
    <row r="7" spans="1:14" x14ac:dyDescent="0.25">
      <c r="K7" s="146" t="s">
        <v>8</v>
      </c>
      <c r="M7" s="45" t="s">
        <v>9</v>
      </c>
      <c r="N7" s="45" t="s">
        <v>6</v>
      </c>
    </row>
    <row r="8" spans="1:14" x14ac:dyDescent="0.25">
      <c r="K8" s="146"/>
      <c r="L8" s="45" t="s">
        <v>5</v>
      </c>
      <c r="M8" s="17">
        <v>550</v>
      </c>
      <c r="N8" s="18">
        <v>650</v>
      </c>
    </row>
    <row r="15" spans="1:14" x14ac:dyDescent="0.25">
      <c r="B15" s="45" t="s">
        <v>7</v>
      </c>
      <c r="C15" s="45" t="s">
        <v>17</v>
      </c>
      <c r="D15" s="2">
        <v>950</v>
      </c>
      <c r="F15" s="52" t="s">
        <v>8</v>
      </c>
      <c r="G15" s="52" t="s">
        <v>17</v>
      </c>
      <c r="H15" s="2">
        <v>700</v>
      </c>
    </row>
    <row r="17" spans="1:6" ht="18.75" x14ac:dyDescent="0.25">
      <c r="A17" s="16" t="s">
        <v>40</v>
      </c>
    </row>
    <row r="19" spans="1:6" x14ac:dyDescent="0.25">
      <c r="B19" s="147" t="s">
        <v>7</v>
      </c>
      <c r="C19" s="148"/>
      <c r="E19" s="149" t="s">
        <v>8</v>
      </c>
      <c r="F19" s="150"/>
    </row>
    <row r="20" spans="1:6" x14ac:dyDescent="0.25">
      <c r="A20" s="20" t="s">
        <v>35</v>
      </c>
      <c r="B20" s="3"/>
      <c r="C20" s="4">
        <f>+'Separate same rpm'!O4</f>
        <v>70</v>
      </c>
      <c r="E20" s="5"/>
      <c r="F20" s="4">
        <f>+'Separate same rpm'!O9</f>
        <v>65</v>
      </c>
    </row>
    <row r="21" spans="1:6" x14ac:dyDescent="0.25">
      <c r="A21" s="20"/>
      <c r="B21" s="3"/>
      <c r="C21" s="6"/>
      <c r="E21" s="5"/>
      <c r="F21" s="6"/>
    </row>
    <row r="22" spans="1:6" x14ac:dyDescent="0.25">
      <c r="A22" s="20" t="s">
        <v>36</v>
      </c>
      <c r="B22" s="45" t="s">
        <v>18</v>
      </c>
      <c r="C22" s="7">
        <v>0.5</v>
      </c>
      <c r="E22" s="52" t="s">
        <v>18</v>
      </c>
      <c r="F22" s="8">
        <v>0.5</v>
      </c>
    </row>
    <row r="23" spans="1:6" x14ac:dyDescent="0.25">
      <c r="A23" s="20"/>
      <c r="B23" s="51" t="s">
        <v>19</v>
      </c>
      <c r="C23" s="7">
        <f>1-C22</f>
        <v>0.5</v>
      </c>
      <c r="E23" s="53" t="s">
        <v>19</v>
      </c>
      <c r="F23" s="8">
        <f>1-F22</f>
        <v>0.5</v>
      </c>
    </row>
    <row r="24" spans="1:6" x14ac:dyDescent="0.25">
      <c r="B24" s="3"/>
      <c r="C24" s="3"/>
      <c r="E24" s="5"/>
      <c r="F24" s="5"/>
    </row>
    <row r="25" spans="1:6" x14ac:dyDescent="0.25">
      <c r="A25" s="20" t="s">
        <v>20</v>
      </c>
    </row>
    <row r="27" spans="1:6" x14ac:dyDescent="0.25">
      <c r="B27" s="45" t="s">
        <v>18</v>
      </c>
      <c r="C27" s="4">
        <f>+C22*C20</f>
        <v>35</v>
      </c>
      <c r="E27" s="52" t="s">
        <v>18</v>
      </c>
      <c r="F27" s="9">
        <f>+F20*F22</f>
        <v>32.5</v>
      </c>
    </row>
    <row r="28" spans="1:6" x14ac:dyDescent="0.25">
      <c r="B28" s="51" t="s">
        <v>19</v>
      </c>
      <c r="C28" s="4">
        <f>+C20*C23</f>
        <v>35</v>
      </c>
      <c r="E28" s="53" t="s">
        <v>19</v>
      </c>
      <c r="F28" s="9">
        <f>+F20*F23</f>
        <v>32.5</v>
      </c>
    </row>
    <row r="30" spans="1:6" x14ac:dyDescent="0.25">
      <c r="A30" s="20" t="s">
        <v>38</v>
      </c>
    </row>
    <row r="32" spans="1:6" x14ac:dyDescent="0.25">
      <c r="B32" s="45" t="s">
        <v>3</v>
      </c>
      <c r="C32" s="10">
        <f>'Separate same rpm'!N4/SUM('Separate same rpm'!$N$4:$N$5)</f>
        <v>0.81818181818181823</v>
      </c>
      <c r="E32" s="52" t="s">
        <v>5</v>
      </c>
      <c r="F32" s="10">
        <f>'Separate same rpm'!N9/'Separate same rpm'!N9</f>
        <v>1</v>
      </c>
    </row>
    <row r="33" spans="1:6" x14ac:dyDescent="0.25">
      <c r="B33" s="45" t="s">
        <v>1</v>
      </c>
      <c r="C33" s="10">
        <f>'Separate same rpm'!N5/SUM('Separate same rpm'!$N$4:$N$5)</f>
        <v>0.18181818181818182</v>
      </c>
      <c r="E33" s="53" t="s">
        <v>9</v>
      </c>
      <c r="F33" s="11">
        <f>'Separate same rpm'!N10/SUM('Separate same rpm'!$N$10:$N$11)</f>
        <v>0.25</v>
      </c>
    </row>
    <row r="34" spans="1:6" x14ac:dyDescent="0.25">
      <c r="B34" s="51" t="s">
        <v>2</v>
      </c>
      <c r="C34" s="10">
        <f>'Separate same rpm'!N6/SUM('Separate same rpm'!$N$6:$N$7)</f>
        <v>0.90909090909090906</v>
      </c>
      <c r="E34" s="53" t="s">
        <v>6</v>
      </c>
      <c r="F34" s="12">
        <f>'Separate same rpm'!N11/SUM('Separate same rpm'!$N$10:$N$11)</f>
        <v>0.75</v>
      </c>
    </row>
    <row r="35" spans="1:6" x14ac:dyDescent="0.25">
      <c r="B35" s="51" t="s">
        <v>4</v>
      </c>
      <c r="C35" s="10">
        <f>'Separate same rpm'!N7/SUM('Separate same rpm'!$N$6:$N$7)</f>
        <v>9.0909090909090912E-2</v>
      </c>
    </row>
    <row r="37" spans="1:6" x14ac:dyDescent="0.25">
      <c r="A37" s="20" t="s">
        <v>21</v>
      </c>
    </row>
    <row r="39" spans="1:6" x14ac:dyDescent="0.25">
      <c r="B39" s="45" t="s">
        <v>3</v>
      </c>
      <c r="C39" s="13">
        <f>C34*M4+C35*N4</f>
        <v>377.27272727272725</v>
      </c>
      <c r="E39" s="52" t="s">
        <v>5</v>
      </c>
      <c r="F39" s="13">
        <f>F33*M8+F34*N8</f>
        <v>625</v>
      </c>
    </row>
    <row r="40" spans="1:6" x14ac:dyDescent="0.25">
      <c r="B40" s="45" t="s">
        <v>1</v>
      </c>
      <c r="C40" s="13">
        <f>C34*M5+C35*N5</f>
        <v>450</v>
      </c>
      <c r="E40" s="53" t="s">
        <v>9</v>
      </c>
      <c r="F40" s="22">
        <f>M8</f>
        <v>550</v>
      </c>
    </row>
    <row r="41" spans="1:6" x14ac:dyDescent="0.25">
      <c r="B41" s="51" t="s">
        <v>2</v>
      </c>
      <c r="C41" s="13">
        <f>SUMPRODUCT($C$32:$C$33,$M$4:$M$5)</f>
        <v>368.18181818181819</v>
      </c>
      <c r="E41" s="53" t="s">
        <v>6</v>
      </c>
      <c r="F41" s="41">
        <f>N8</f>
        <v>650</v>
      </c>
    </row>
    <row r="42" spans="1:6" x14ac:dyDescent="0.25">
      <c r="B42" s="51" t="s">
        <v>4</v>
      </c>
      <c r="C42" s="13">
        <f>SUMPRODUCT($C$32:$C$33,$N$4:$N$5)</f>
        <v>613.63636363636374</v>
      </c>
    </row>
    <row r="44" spans="1:6" x14ac:dyDescent="0.25">
      <c r="A44" s="20" t="s">
        <v>22</v>
      </c>
    </row>
    <row r="46" spans="1:6" x14ac:dyDescent="0.25">
      <c r="B46" s="45" t="s">
        <v>3</v>
      </c>
      <c r="C46" s="14">
        <f>C39*'Separate same rpm'!N4/(SUMPRODUCT('Separate same rpm'!$N$4:$N$5,$C$39:$C$40))</f>
        <v>0.79047619047619044</v>
      </c>
      <c r="E46" s="52" t="s">
        <v>5</v>
      </c>
      <c r="F46" s="14">
        <f>F39*'Separate same rpm'!N9/(SUMPRODUCT('Separate same rpm'!$N$9,$F$39))</f>
        <v>1</v>
      </c>
    </row>
    <row r="47" spans="1:6" x14ac:dyDescent="0.25">
      <c r="B47" s="45" t="s">
        <v>1</v>
      </c>
      <c r="C47" s="14">
        <f>C40*'Separate same rpm'!N5/(SUMPRODUCT('Separate same rpm'!$N$4:$N$5,$C$39:$C$40))</f>
        <v>0.20952380952380956</v>
      </c>
      <c r="E47" s="53" t="s">
        <v>9</v>
      </c>
      <c r="F47" s="14">
        <f>F40*'Separate same rpm'!N10/(SUMPRODUCT('Separate same rpm'!$N$10:$N$11,$F$40:$F$41))</f>
        <v>0.22</v>
      </c>
    </row>
    <row r="48" spans="1:6" x14ac:dyDescent="0.25">
      <c r="B48" s="51" t="s">
        <v>2</v>
      </c>
      <c r="C48" s="14">
        <f>C41*'Separate same rpm'!N6/(SUMPRODUCT('Separate same rpm'!$N$6:$N$7,$C$41:$C$42))</f>
        <v>0.8571428571428571</v>
      </c>
      <c r="E48" s="53" t="s">
        <v>6</v>
      </c>
      <c r="F48" s="14">
        <f>F41*'Separate same rpm'!N11/(SUMPRODUCT('Separate same rpm'!$N$10:$N$11,$F$40:$F$41))</f>
        <v>0.78</v>
      </c>
    </row>
    <row r="49" spans="1:6" x14ac:dyDescent="0.25">
      <c r="B49" s="51" t="s">
        <v>4</v>
      </c>
      <c r="C49" s="14">
        <f>C42*'Separate same rpm'!N7/(SUMPRODUCT('Separate same rpm'!$N$6:$N$7,$C$41:$C$42))</f>
        <v>0.14285714285714288</v>
      </c>
    </row>
    <row r="51" spans="1:6" x14ac:dyDescent="0.25">
      <c r="A51" s="20" t="s">
        <v>23</v>
      </c>
    </row>
    <row r="53" spans="1:6" x14ac:dyDescent="0.25">
      <c r="B53" s="45" t="s">
        <v>3</v>
      </c>
      <c r="C53" s="4">
        <f>C46*$C$27</f>
        <v>27.666666666666664</v>
      </c>
      <c r="E53" s="52" t="s">
        <v>5</v>
      </c>
      <c r="F53" s="21">
        <f>F46*F27</f>
        <v>32.5</v>
      </c>
    </row>
    <row r="54" spans="1:6" x14ac:dyDescent="0.25">
      <c r="B54" s="45" t="s">
        <v>1</v>
      </c>
      <c r="C54" s="4">
        <f>C47*$C$27</f>
        <v>7.3333333333333348</v>
      </c>
      <c r="E54" s="53" t="s">
        <v>9</v>
      </c>
      <c r="F54" s="21">
        <f>F47*$F$28</f>
        <v>7.15</v>
      </c>
    </row>
    <row r="55" spans="1:6" x14ac:dyDescent="0.25">
      <c r="B55" s="51" t="s">
        <v>2</v>
      </c>
      <c r="C55" s="4">
        <f>C48*$C$28</f>
        <v>30</v>
      </c>
      <c r="E55" s="53" t="s">
        <v>6</v>
      </c>
      <c r="F55" s="21">
        <f>F48*$F$28</f>
        <v>25.35</v>
      </c>
    </row>
    <row r="56" spans="1:6" x14ac:dyDescent="0.25">
      <c r="B56" s="51" t="s">
        <v>4</v>
      </c>
      <c r="C56" s="4">
        <f>C49*$C$28</f>
        <v>5.0000000000000009</v>
      </c>
    </row>
    <row r="58" spans="1:6" x14ac:dyDescent="0.25">
      <c r="A58" s="20" t="s">
        <v>34</v>
      </c>
    </row>
    <row r="60" spans="1:6" x14ac:dyDescent="0.25">
      <c r="B60" s="45" t="s">
        <v>3</v>
      </c>
      <c r="C60" s="15">
        <f>C53/'Separate same rpm'!N4</f>
        <v>3.074074074074074</v>
      </c>
      <c r="E60" s="52" t="s">
        <v>5</v>
      </c>
      <c r="F60" s="15">
        <f>F53/'Separate same rpm'!N9</f>
        <v>2.7083333333333335</v>
      </c>
    </row>
    <row r="61" spans="1:6" x14ac:dyDescent="0.25">
      <c r="B61" s="45" t="s">
        <v>1</v>
      </c>
      <c r="C61" s="15">
        <f>C54/'Separate same rpm'!N5</f>
        <v>3.6666666666666674</v>
      </c>
      <c r="E61" s="53" t="s">
        <v>9</v>
      </c>
      <c r="F61" s="15">
        <f>F54/'Separate same rpm'!N10</f>
        <v>2.3833333333333333</v>
      </c>
    </row>
    <row r="62" spans="1:6" x14ac:dyDescent="0.25">
      <c r="B62" s="51" t="s">
        <v>2</v>
      </c>
      <c r="C62" s="15">
        <f>C55/'Separate same rpm'!N6</f>
        <v>3</v>
      </c>
      <c r="E62" s="53" t="s">
        <v>6</v>
      </c>
      <c r="F62" s="15">
        <f>F55/'Separate same rpm'!N11</f>
        <v>2.8166666666666669</v>
      </c>
    </row>
    <row r="63" spans="1:6" x14ac:dyDescent="0.25">
      <c r="B63" s="51" t="s">
        <v>4</v>
      </c>
      <c r="C63" s="15">
        <f>C56/'Separate same rpm'!N7</f>
        <v>5.0000000000000009</v>
      </c>
    </row>
  </sheetData>
  <mergeCells count="4">
    <mergeCell ref="K7:K8"/>
    <mergeCell ref="K3:K5"/>
    <mergeCell ref="B19:C19"/>
    <mergeCell ref="E19:F19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/>
  </sheetPr>
  <dimension ref="A1:Q59"/>
  <sheetViews>
    <sheetView zoomScale="70" zoomScaleNormal="70" workbookViewId="0"/>
  </sheetViews>
  <sheetFormatPr baseColWidth="10" defaultColWidth="11.42578125" defaultRowHeight="15" x14ac:dyDescent="0.25"/>
  <cols>
    <col min="1" max="11" width="11.42578125" style="1"/>
    <col min="12" max="12" width="12.85546875" style="1" customWidth="1"/>
    <col min="13" max="16384" width="11.42578125" style="1"/>
  </cols>
  <sheetData>
    <row r="1" spans="1:15" ht="18.75" x14ac:dyDescent="0.25">
      <c r="A1" s="16" t="s">
        <v>16</v>
      </c>
      <c r="K1" s="16" t="s">
        <v>39</v>
      </c>
    </row>
    <row r="3" spans="1:15" x14ac:dyDescent="0.25">
      <c r="K3" s="146" t="s">
        <v>7</v>
      </c>
      <c r="M3" s="45" t="s">
        <v>2</v>
      </c>
      <c r="N3" s="45" t="s">
        <v>4</v>
      </c>
    </row>
    <row r="4" spans="1:15" x14ac:dyDescent="0.25">
      <c r="K4" s="146"/>
      <c r="L4" s="45" t="s">
        <v>1</v>
      </c>
      <c r="M4" s="17">
        <v>450</v>
      </c>
      <c r="N4" s="18">
        <v>450</v>
      </c>
    </row>
    <row r="5" spans="1:15" x14ac:dyDescent="0.25">
      <c r="K5" s="19"/>
    </row>
    <row r="6" spans="1:15" x14ac:dyDescent="0.25">
      <c r="K6" s="146" t="s">
        <v>8</v>
      </c>
      <c r="M6" s="45" t="s">
        <v>9</v>
      </c>
    </row>
    <row r="7" spans="1:15" x14ac:dyDescent="0.25">
      <c r="K7" s="146"/>
      <c r="L7" s="45" t="s">
        <v>5</v>
      </c>
      <c r="M7" s="17">
        <v>550</v>
      </c>
    </row>
    <row r="8" spans="1:15" x14ac:dyDescent="0.25">
      <c r="K8" s="19"/>
    </row>
    <row r="10" spans="1:15" x14ac:dyDescent="0.25">
      <c r="K10" s="153" t="s">
        <v>43</v>
      </c>
      <c r="M10" s="54" t="s">
        <v>2</v>
      </c>
      <c r="N10" s="54" t="s">
        <v>4</v>
      </c>
      <c r="O10" s="54" t="s">
        <v>9</v>
      </c>
    </row>
    <row r="11" spans="1:15" x14ac:dyDescent="0.25">
      <c r="K11" s="153"/>
      <c r="L11" s="54" t="s">
        <v>1</v>
      </c>
      <c r="M11" s="59">
        <v>450</v>
      </c>
      <c r="N11" s="59">
        <v>450</v>
      </c>
      <c r="O11" s="59">
        <v>900</v>
      </c>
    </row>
    <row r="12" spans="1:15" x14ac:dyDescent="0.25">
      <c r="K12" s="153"/>
      <c r="L12" s="54" t="s">
        <v>5</v>
      </c>
      <c r="M12" s="59">
        <v>1000</v>
      </c>
      <c r="N12" s="59">
        <v>1300</v>
      </c>
      <c r="O12" s="59">
        <v>550</v>
      </c>
    </row>
    <row r="15" spans="1:15" x14ac:dyDescent="0.25">
      <c r="B15" s="45" t="s">
        <v>7</v>
      </c>
      <c r="C15" s="45" t="s">
        <v>17</v>
      </c>
      <c r="D15" s="2">
        <v>950</v>
      </c>
      <c r="F15" s="52" t="s">
        <v>8</v>
      </c>
      <c r="G15" s="52" t="s">
        <v>17</v>
      </c>
      <c r="H15" s="2">
        <v>700</v>
      </c>
    </row>
    <row r="17" spans="1:17" ht="18.75" x14ac:dyDescent="0.25">
      <c r="A17" s="61" t="s">
        <v>46</v>
      </c>
      <c r="B17" s="62"/>
      <c r="C17" s="62"/>
      <c r="D17" s="62"/>
      <c r="E17" s="62"/>
      <c r="F17" s="62"/>
      <c r="G17" s="62"/>
      <c r="K17" s="85" t="s">
        <v>41</v>
      </c>
      <c r="L17" s="86"/>
      <c r="M17" s="86"/>
      <c r="N17" s="86"/>
      <c r="O17" s="86"/>
      <c r="P17" s="86"/>
      <c r="Q17" s="86"/>
    </row>
    <row r="18" spans="1:17" x14ac:dyDescent="0.25">
      <c r="A18" s="66"/>
      <c r="B18" s="66"/>
      <c r="C18" s="66"/>
      <c r="D18" s="66"/>
      <c r="E18" s="66"/>
      <c r="F18" s="66"/>
      <c r="G18" s="66"/>
      <c r="K18" s="86"/>
      <c r="L18" s="86"/>
      <c r="M18" s="86"/>
      <c r="N18" s="86"/>
      <c r="O18" s="86"/>
      <c r="P18" s="86"/>
      <c r="Q18" s="86"/>
    </row>
    <row r="19" spans="1:17" x14ac:dyDescent="0.25">
      <c r="A19" s="66"/>
      <c r="B19" s="154" t="s">
        <v>7</v>
      </c>
      <c r="C19" s="155"/>
      <c r="D19" s="66"/>
      <c r="E19" s="156" t="s">
        <v>8</v>
      </c>
      <c r="F19" s="157"/>
      <c r="G19" s="66"/>
      <c r="K19" s="86"/>
      <c r="L19" s="151" t="s">
        <v>42</v>
      </c>
      <c r="M19" s="152"/>
      <c r="N19" s="86"/>
      <c r="O19" s="86"/>
      <c r="P19" s="86"/>
      <c r="Q19" s="86"/>
    </row>
    <row r="20" spans="1:17" x14ac:dyDescent="0.25">
      <c r="A20" s="67" t="s">
        <v>35</v>
      </c>
      <c r="B20" s="68"/>
      <c r="C20" s="69">
        <f>+'Separate same rpm'!Q19</f>
        <v>60</v>
      </c>
      <c r="D20" s="66"/>
      <c r="E20" s="70"/>
      <c r="F20" s="69">
        <f>+'Separate same rpm'!Q23</f>
        <v>75</v>
      </c>
      <c r="G20" s="66"/>
      <c r="K20" s="87" t="s">
        <v>35</v>
      </c>
      <c r="L20" s="88"/>
      <c r="M20" s="89">
        <f>'Joint same rpm'!Q26</f>
        <v>135</v>
      </c>
      <c r="N20" s="86"/>
      <c r="O20" s="86"/>
      <c r="P20" s="86"/>
      <c r="Q20" s="86"/>
    </row>
    <row r="21" spans="1:17" x14ac:dyDescent="0.25">
      <c r="A21" s="67"/>
      <c r="B21" s="68"/>
      <c r="C21" s="71"/>
      <c r="D21" s="66"/>
      <c r="E21" s="70"/>
      <c r="F21" s="71"/>
      <c r="G21" s="66"/>
      <c r="K21" s="87"/>
      <c r="L21" s="88"/>
      <c r="M21" s="90"/>
      <c r="N21" s="86"/>
      <c r="O21" s="86"/>
      <c r="P21" s="86"/>
      <c r="Q21" s="86"/>
    </row>
    <row r="22" spans="1:17" x14ac:dyDescent="0.25">
      <c r="A22" s="67" t="s">
        <v>36</v>
      </c>
      <c r="B22" s="72" t="s">
        <v>18</v>
      </c>
      <c r="C22" s="73">
        <v>0.5</v>
      </c>
      <c r="D22" s="66"/>
      <c r="E22" s="74" t="s">
        <v>18</v>
      </c>
      <c r="F22" s="75">
        <v>0.5</v>
      </c>
      <c r="G22" s="66"/>
      <c r="K22" s="87" t="s">
        <v>36</v>
      </c>
      <c r="L22" s="91" t="s">
        <v>18</v>
      </c>
      <c r="M22" s="92">
        <f>'Joint same rpm'!O26</f>
        <v>0.5</v>
      </c>
      <c r="N22" s="86"/>
      <c r="O22" s="86"/>
      <c r="P22" s="86"/>
      <c r="Q22" s="86"/>
    </row>
    <row r="23" spans="1:17" x14ac:dyDescent="0.25">
      <c r="A23" s="67"/>
      <c r="B23" s="76" t="s">
        <v>19</v>
      </c>
      <c r="C23" s="73">
        <f>1-C22</f>
        <v>0.5</v>
      </c>
      <c r="D23" s="66"/>
      <c r="E23" s="77" t="s">
        <v>19</v>
      </c>
      <c r="F23" s="75">
        <f>1-F22</f>
        <v>0.5</v>
      </c>
      <c r="G23" s="66"/>
      <c r="K23" s="87"/>
      <c r="L23" s="93" t="s">
        <v>19</v>
      </c>
      <c r="M23" s="92">
        <f>1-M22</f>
        <v>0.5</v>
      </c>
      <c r="N23" s="86"/>
      <c r="O23" s="86"/>
      <c r="P23" s="86"/>
      <c r="Q23" s="86"/>
    </row>
    <row r="24" spans="1:17" x14ac:dyDescent="0.25">
      <c r="A24" s="67"/>
      <c r="B24" s="68"/>
      <c r="C24" s="71"/>
      <c r="D24" s="66"/>
      <c r="E24" s="70"/>
      <c r="F24" s="71"/>
      <c r="G24" s="66"/>
      <c r="K24" s="87"/>
      <c r="L24" s="88"/>
      <c r="M24" s="90"/>
      <c r="N24" s="86"/>
      <c r="O24" s="86"/>
      <c r="P24" s="86"/>
      <c r="Q24" s="86"/>
    </row>
    <row r="25" spans="1:17" x14ac:dyDescent="0.25">
      <c r="A25" s="67" t="s">
        <v>20</v>
      </c>
      <c r="B25" s="66"/>
      <c r="C25" s="66"/>
      <c r="D25" s="66"/>
      <c r="E25" s="66"/>
      <c r="F25" s="66"/>
      <c r="G25" s="66"/>
      <c r="K25" s="87" t="s">
        <v>20</v>
      </c>
      <c r="L25" s="86"/>
      <c r="M25" s="86"/>
      <c r="N25" s="86"/>
      <c r="O25" s="86"/>
      <c r="P25" s="86"/>
      <c r="Q25" s="86"/>
    </row>
    <row r="26" spans="1:17" x14ac:dyDescent="0.25">
      <c r="A26" s="66"/>
      <c r="B26" s="66"/>
      <c r="C26" s="66"/>
      <c r="D26" s="66"/>
      <c r="E26" s="66"/>
      <c r="F26" s="66"/>
      <c r="G26" s="66"/>
      <c r="K26" s="86"/>
      <c r="L26" s="86"/>
      <c r="M26" s="86"/>
      <c r="N26" s="86"/>
      <c r="O26" s="86"/>
      <c r="P26" s="86"/>
      <c r="Q26" s="86"/>
    </row>
    <row r="27" spans="1:17" x14ac:dyDescent="0.25">
      <c r="A27" s="66"/>
      <c r="B27" s="72" t="s">
        <v>18</v>
      </c>
      <c r="C27" s="69">
        <f>+C22*C20</f>
        <v>30</v>
      </c>
      <c r="D27" s="66"/>
      <c r="E27" s="74" t="s">
        <v>18</v>
      </c>
      <c r="F27" s="78">
        <f>+F20*F22</f>
        <v>37.5</v>
      </c>
      <c r="G27" s="66"/>
      <c r="K27" s="86"/>
      <c r="L27" s="91" t="s">
        <v>18</v>
      </c>
      <c r="M27" s="89">
        <f>+M22*M20</f>
        <v>67.5</v>
      </c>
      <c r="N27" s="86"/>
      <c r="O27" s="86"/>
      <c r="P27" s="86"/>
      <c r="Q27" s="86"/>
    </row>
    <row r="28" spans="1:17" x14ac:dyDescent="0.25">
      <c r="A28" s="66"/>
      <c r="B28" s="76" t="s">
        <v>19</v>
      </c>
      <c r="C28" s="69">
        <f>+C20*C23</f>
        <v>30</v>
      </c>
      <c r="D28" s="66"/>
      <c r="E28" s="77" t="s">
        <v>19</v>
      </c>
      <c r="F28" s="78">
        <f>+F23*F20</f>
        <v>37.5</v>
      </c>
      <c r="G28" s="66"/>
      <c r="K28" s="86"/>
      <c r="L28" s="93" t="s">
        <v>19</v>
      </c>
      <c r="M28" s="89">
        <f>+M20*M23</f>
        <v>67.5</v>
      </c>
      <c r="N28" s="86"/>
      <c r="O28" s="86"/>
      <c r="P28" s="86"/>
      <c r="Q28" s="86"/>
    </row>
    <row r="29" spans="1:17" x14ac:dyDescent="0.25">
      <c r="A29" s="66"/>
      <c r="B29" s="66"/>
      <c r="C29" s="66"/>
      <c r="D29" s="66"/>
      <c r="E29" s="66"/>
      <c r="F29" s="66"/>
      <c r="G29" s="66"/>
      <c r="K29" s="86"/>
      <c r="L29" s="86"/>
      <c r="M29" s="86"/>
      <c r="N29" s="86"/>
      <c r="O29" s="86"/>
      <c r="P29" s="86"/>
      <c r="Q29" s="86"/>
    </row>
    <row r="30" spans="1:17" x14ac:dyDescent="0.25">
      <c r="A30" s="67" t="s">
        <v>38</v>
      </c>
      <c r="B30" s="66"/>
      <c r="C30" s="66"/>
      <c r="D30" s="66"/>
      <c r="E30" s="66"/>
      <c r="F30" s="66"/>
      <c r="G30" s="66"/>
      <c r="K30" s="87" t="s">
        <v>38</v>
      </c>
      <c r="L30" s="86"/>
      <c r="M30" s="86"/>
      <c r="N30" s="86"/>
      <c r="O30" s="86"/>
      <c r="P30" s="86"/>
      <c r="Q30" s="86"/>
    </row>
    <row r="31" spans="1:17" x14ac:dyDescent="0.25">
      <c r="A31" s="66"/>
      <c r="B31" s="66"/>
      <c r="C31" s="66"/>
      <c r="D31" s="66"/>
      <c r="E31" s="66"/>
      <c r="F31" s="66"/>
      <c r="G31" s="66"/>
      <c r="K31" s="86"/>
      <c r="L31" s="86"/>
      <c r="M31" s="86"/>
      <c r="N31" s="86"/>
      <c r="O31" s="86"/>
      <c r="P31" s="86"/>
      <c r="Q31" s="86"/>
    </row>
    <row r="32" spans="1:17" x14ac:dyDescent="0.25">
      <c r="A32" s="66"/>
      <c r="B32" s="72" t="s">
        <v>1</v>
      </c>
      <c r="C32" s="79">
        <f>'Separate same rpm'!N19/'Separate same rpm'!N19</f>
        <v>1</v>
      </c>
      <c r="D32" s="66"/>
      <c r="E32" s="74" t="s">
        <v>5</v>
      </c>
      <c r="F32" s="79">
        <f>'Separate same rpm'!N23/'Separate same rpm'!N23</f>
        <v>1</v>
      </c>
      <c r="G32" s="66"/>
      <c r="K32" s="86"/>
      <c r="L32" s="91" t="s">
        <v>1</v>
      </c>
      <c r="M32" s="94">
        <f>'Joint same rpm'!N19/'Joint same rpm'!N26</f>
        <v>0.14285714285714285</v>
      </c>
      <c r="N32" s="86"/>
      <c r="O32" s="95" t="s">
        <v>5</v>
      </c>
      <c r="P32" s="94">
        <f>'Joint same rpm'!N23/'Joint same rpm'!N26</f>
        <v>0.8571428571428571</v>
      </c>
      <c r="Q32" s="86"/>
    </row>
    <row r="33" spans="1:17" x14ac:dyDescent="0.25">
      <c r="A33" s="66"/>
      <c r="B33" s="76" t="s">
        <v>2</v>
      </c>
      <c r="C33" s="79">
        <f>'Separate same rpm'!N20/SUM('Separate same rpm'!$N$20:$N$21)</f>
        <v>0.90909090909090906</v>
      </c>
      <c r="D33" s="66"/>
      <c r="E33" s="77" t="s">
        <v>9</v>
      </c>
      <c r="F33" s="80">
        <f>'Separate same rpm'!N24/'Separate same rpm'!N24</f>
        <v>1</v>
      </c>
      <c r="G33" s="66"/>
      <c r="K33" s="86"/>
      <c r="L33" s="93" t="s">
        <v>2</v>
      </c>
      <c r="M33" s="94">
        <f>'Joint same rpm'!N20/'Joint same rpm'!N27</f>
        <v>0.7142857142857143</v>
      </c>
      <c r="N33" s="86"/>
      <c r="O33" s="96" t="s">
        <v>9</v>
      </c>
      <c r="P33" s="97">
        <f>'Joint same rpm'!N24/'Joint same rpm'!N27</f>
        <v>0.21428571428571427</v>
      </c>
      <c r="Q33" s="86"/>
    </row>
    <row r="34" spans="1:17" x14ac:dyDescent="0.25">
      <c r="A34" s="66"/>
      <c r="B34" s="76" t="s">
        <v>4</v>
      </c>
      <c r="C34" s="79">
        <f>'Separate same rpm'!N21/SUM('Separate same rpm'!$N$20:$N$21)</f>
        <v>9.0909090909090912E-2</v>
      </c>
      <c r="D34" s="66"/>
      <c r="E34" s="66"/>
      <c r="F34" s="66"/>
      <c r="G34" s="66"/>
      <c r="K34" s="86"/>
      <c r="L34" s="93" t="s">
        <v>4</v>
      </c>
      <c r="M34" s="94">
        <f>'Joint same rpm'!N21/'Joint same rpm'!N27</f>
        <v>7.1428571428571425E-2</v>
      </c>
      <c r="N34" s="86"/>
      <c r="O34" s="86"/>
      <c r="P34" s="86"/>
      <c r="Q34" s="86"/>
    </row>
    <row r="35" spans="1:17" x14ac:dyDescent="0.25">
      <c r="A35" s="66"/>
      <c r="B35" s="66"/>
      <c r="C35" s="66"/>
      <c r="D35" s="66"/>
      <c r="E35" s="66"/>
      <c r="F35" s="66"/>
      <c r="G35" s="66"/>
      <c r="K35" s="86"/>
      <c r="L35" s="86"/>
      <c r="M35" s="86"/>
      <c r="N35" s="86"/>
      <c r="O35" s="86"/>
      <c r="P35" s="86"/>
      <c r="Q35" s="86"/>
    </row>
    <row r="36" spans="1:17" x14ac:dyDescent="0.25">
      <c r="A36" s="67" t="s">
        <v>21</v>
      </c>
      <c r="B36" s="66"/>
      <c r="C36" s="66"/>
      <c r="D36" s="66"/>
      <c r="E36" s="66"/>
      <c r="F36" s="66"/>
      <c r="G36" s="66"/>
      <c r="K36" s="87" t="s">
        <v>21</v>
      </c>
      <c r="L36" s="86"/>
      <c r="M36" s="86"/>
      <c r="N36" s="86"/>
      <c r="O36" s="86"/>
      <c r="P36" s="86"/>
      <c r="Q36" s="86"/>
    </row>
    <row r="37" spans="1:17" x14ac:dyDescent="0.25">
      <c r="A37" s="66"/>
      <c r="B37" s="66"/>
      <c r="C37" s="66"/>
      <c r="D37" s="66"/>
      <c r="E37" s="66"/>
      <c r="F37" s="66"/>
      <c r="G37" s="66"/>
      <c r="K37" s="86"/>
      <c r="L37" s="86"/>
      <c r="M37" s="86"/>
      <c r="N37" s="86"/>
      <c r="O37" s="86"/>
      <c r="P37" s="86"/>
      <c r="Q37" s="86"/>
    </row>
    <row r="38" spans="1:17" x14ac:dyDescent="0.25">
      <c r="A38" s="66"/>
      <c r="B38" s="72" t="s">
        <v>1</v>
      </c>
      <c r="C38" s="81">
        <f>C33*M4+C34*N4</f>
        <v>450</v>
      </c>
      <c r="D38" s="66"/>
      <c r="E38" s="74" t="s">
        <v>5</v>
      </c>
      <c r="F38" s="81">
        <f>F33*M7</f>
        <v>550</v>
      </c>
      <c r="G38" s="66"/>
      <c r="K38" s="86"/>
      <c r="L38" s="91" t="s">
        <v>1</v>
      </c>
      <c r="M38" s="98">
        <f>M33*M11+M34*N11+P33*O11</f>
        <v>546.42857142857133</v>
      </c>
      <c r="N38" s="86"/>
      <c r="O38" s="95" t="s">
        <v>5</v>
      </c>
      <c r="P38" s="98">
        <f>M33*M12+M34*N12+P33*O12</f>
        <v>925.00000000000011</v>
      </c>
      <c r="Q38" s="86"/>
    </row>
    <row r="39" spans="1:17" x14ac:dyDescent="0.25">
      <c r="A39" s="66"/>
      <c r="B39" s="76" t="s">
        <v>2</v>
      </c>
      <c r="C39" s="81">
        <f>SUMPRODUCT($C$32:$C$32,$M$4:$M$4)</f>
        <v>450</v>
      </c>
      <c r="D39" s="66"/>
      <c r="E39" s="77" t="s">
        <v>9</v>
      </c>
      <c r="F39" s="82">
        <f>M7*F32</f>
        <v>550</v>
      </c>
      <c r="G39" s="66"/>
      <c r="K39" s="86"/>
      <c r="L39" s="93" t="s">
        <v>2</v>
      </c>
      <c r="M39" s="98">
        <f>M32*M11+P32*M12</f>
        <v>921.42857142857133</v>
      </c>
      <c r="N39" s="86"/>
      <c r="O39" s="96" t="s">
        <v>9</v>
      </c>
      <c r="P39" s="99">
        <f>M32*O11+P32*O12</f>
        <v>600</v>
      </c>
      <c r="Q39" s="86"/>
    </row>
    <row r="40" spans="1:17" x14ac:dyDescent="0.25">
      <c r="A40" s="66"/>
      <c r="B40" s="76" t="s">
        <v>4</v>
      </c>
      <c r="C40" s="81">
        <f>SUMPRODUCT($C$32:$C$32,$N$4:$N$4)</f>
        <v>450</v>
      </c>
      <c r="D40" s="66"/>
      <c r="E40" s="66"/>
      <c r="F40" s="66"/>
      <c r="G40" s="66"/>
      <c r="K40" s="86"/>
      <c r="L40" s="93" t="s">
        <v>4</v>
      </c>
      <c r="M40" s="98">
        <f>M32*N11+P32*N12</f>
        <v>1178.5714285714284</v>
      </c>
      <c r="N40" s="86"/>
      <c r="O40" s="86"/>
      <c r="P40" s="86"/>
      <c r="Q40" s="86"/>
    </row>
    <row r="41" spans="1:17" x14ac:dyDescent="0.25">
      <c r="A41" s="66"/>
      <c r="B41" s="66"/>
      <c r="C41" s="66"/>
      <c r="D41" s="66"/>
      <c r="E41" s="66"/>
      <c r="F41" s="66"/>
      <c r="G41" s="66"/>
      <c r="K41" s="86"/>
      <c r="L41" s="86"/>
      <c r="M41" s="86"/>
      <c r="N41" s="86"/>
      <c r="O41" s="86"/>
      <c r="P41" s="86"/>
      <c r="Q41" s="86"/>
    </row>
    <row r="42" spans="1:17" x14ac:dyDescent="0.25">
      <c r="A42" s="67" t="s">
        <v>22</v>
      </c>
      <c r="B42" s="66"/>
      <c r="C42" s="66"/>
      <c r="D42" s="66"/>
      <c r="E42" s="66"/>
      <c r="F42" s="66"/>
      <c r="G42" s="66"/>
      <c r="K42" s="87" t="s">
        <v>22</v>
      </c>
      <c r="L42" s="86"/>
      <c r="M42" s="86"/>
      <c r="N42" s="86"/>
      <c r="O42" s="86"/>
      <c r="P42" s="86"/>
      <c r="Q42" s="86"/>
    </row>
    <row r="43" spans="1:17" x14ac:dyDescent="0.25">
      <c r="A43" s="66"/>
      <c r="B43" s="66"/>
      <c r="C43" s="66"/>
      <c r="D43" s="66"/>
      <c r="E43" s="66"/>
      <c r="F43" s="66"/>
      <c r="G43" s="66"/>
      <c r="K43" s="86"/>
      <c r="L43" s="86"/>
      <c r="M43" s="86"/>
      <c r="N43" s="86"/>
      <c r="O43" s="86"/>
      <c r="P43" s="86"/>
      <c r="Q43" s="86"/>
    </row>
    <row r="44" spans="1:17" x14ac:dyDescent="0.25">
      <c r="A44" s="66"/>
      <c r="B44" s="72" t="s">
        <v>1</v>
      </c>
      <c r="C44" s="83">
        <f>C38*'Separate same rpm'!N19/('Separate same rpm'!N19*C38)</f>
        <v>1</v>
      </c>
      <c r="D44" s="66"/>
      <c r="E44" s="74" t="s">
        <v>5</v>
      </c>
      <c r="F44" s="83">
        <f>F38*'Separate same rpm'!N23/(F38*'Separate same rpm'!N23)</f>
        <v>1</v>
      </c>
      <c r="G44" s="66"/>
      <c r="K44" s="86"/>
      <c r="L44" s="91" t="s">
        <v>1</v>
      </c>
      <c r="M44" s="100">
        <f>M38*'Joint same rpm'!N19/('Distances and CWDA - 1 zone'!$M$38*'Joint same rpm'!$N$19+'Distances and CWDA - 1 zone'!$P$38*'Joint same rpm'!$N$23)</f>
        <v>8.9630931458699437E-2</v>
      </c>
      <c r="N44" s="86"/>
      <c r="O44" s="95" t="s">
        <v>5</v>
      </c>
      <c r="P44" s="100">
        <f>'Distances and CWDA - 1 zone'!P38*'Joint same rpm'!N23/('Distances and CWDA - 1 zone'!$M$38*'Joint same rpm'!$N$19+'Distances and CWDA - 1 zone'!$P$38*'Joint same rpm'!$N$23)</f>
        <v>0.91036906854130051</v>
      </c>
      <c r="Q44" s="86"/>
    </row>
    <row r="45" spans="1:17" x14ac:dyDescent="0.25">
      <c r="A45" s="66"/>
      <c r="B45" s="76" t="s">
        <v>2</v>
      </c>
      <c r="C45" s="83">
        <f>C39*'Separate same rpm'!N20/(SUMPRODUCT('Separate same rpm'!$N$20:$N$21,$C$39:$C$40))</f>
        <v>0.90909090909090906</v>
      </c>
      <c r="D45" s="66"/>
      <c r="E45" s="77" t="s">
        <v>9</v>
      </c>
      <c r="F45" s="83">
        <f>F39*'Separate same rpm'!N24/(F39*'Separate same rpm'!N24)</f>
        <v>1</v>
      </c>
      <c r="G45" s="66"/>
      <c r="K45" s="86"/>
      <c r="L45" s="93" t="s">
        <v>2</v>
      </c>
      <c r="M45" s="100">
        <f>M39*'Joint same rpm'!N20/('Distances and CWDA - 1 zone'!$M$39*'Joint same rpm'!$N$20+'Distances and CWDA - 1 zone'!$M$40*'Joint same rpm'!$N$21+'Distances and CWDA - 1 zone'!$P$39*'Joint same rpm'!$N$24)</f>
        <v>0.75571177504393683</v>
      </c>
      <c r="N45" s="86"/>
      <c r="O45" s="96" t="s">
        <v>9</v>
      </c>
      <c r="P45" s="100">
        <f>'Distances and CWDA - 1 zone'!P39*'Joint same rpm'!N24/('Distances and CWDA - 1 zone'!$M$39*'Joint same rpm'!$N$20+'Distances and CWDA - 1 zone'!$M$40*'Joint same rpm'!$N$21+'Distances and CWDA - 1 zone'!$P$39*'Joint same rpm'!$N$24)</f>
        <v>0.14762741652021091</v>
      </c>
      <c r="Q45" s="86"/>
    </row>
    <row r="46" spans="1:17" x14ac:dyDescent="0.25">
      <c r="A46" s="66"/>
      <c r="B46" s="76" t="s">
        <v>4</v>
      </c>
      <c r="C46" s="83">
        <f>C40*'Separate same rpm'!N21/(SUMPRODUCT('Separate same rpm'!$N$20:$N$21,$C$39:$C$40))</f>
        <v>9.0909090909090912E-2</v>
      </c>
      <c r="D46" s="66"/>
      <c r="E46" s="66"/>
      <c r="F46" s="66"/>
      <c r="G46" s="66"/>
      <c r="K46" s="86"/>
      <c r="L46" s="93" t="s">
        <v>4</v>
      </c>
      <c r="M46" s="100">
        <f>M40*'Joint same rpm'!N21/('Distances and CWDA - 1 zone'!$M$39*'Joint same rpm'!$N$20+'Distances and CWDA - 1 zone'!$M$40*'Joint same rpm'!$N$21+'Distances and CWDA - 1 zone'!$P$39*'Joint same rpm'!$N$24)</f>
        <v>9.6660808435852369E-2</v>
      </c>
      <c r="N46" s="86"/>
      <c r="O46" s="86"/>
      <c r="P46" s="86"/>
      <c r="Q46" s="86"/>
    </row>
    <row r="47" spans="1:17" x14ac:dyDescent="0.25">
      <c r="A47" s="66"/>
      <c r="B47" s="66"/>
      <c r="C47" s="66"/>
      <c r="D47" s="66"/>
      <c r="E47" s="66"/>
      <c r="F47" s="66"/>
      <c r="G47" s="66"/>
      <c r="K47" s="86"/>
      <c r="L47" s="86"/>
      <c r="M47" s="86"/>
      <c r="N47" s="86"/>
      <c r="O47" s="86"/>
      <c r="P47" s="86"/>
      <c r="Q47" s="86"/>
    </row>
    <row r="48" spans="1:17" x14ac:dyDescent="0.25">
      <c r="A48" s="67" t="s">
        <v>23</v>
      </c>
      <c r="B48" s="66"/>
      <c r="C48" s="66"/>
      <c r="D48" s="66"/>
      <c r="E48" s="66"/>
      <c r="F48" s="66"/>
      <c r="G48" s="66"/>
      <c r="K48" s="87" t="s">
        <v>23</v>
      </c>
      <c r="L48" s="86"/>
      <c r="M48" s="86"/>
      <c r="N48" s="86"/>
      <c r="O48" s="86"/>
      <c r="P48" s="86"/>
      <c r="Q48" s="86"/>
    </row>
    <row r="49" spans="1:17" x14ac:dyDescent="0.25">
      <c r="A49" s="66"/>
      <c r="B49" s="66"/>
      <c r="C49" s="66"/>
      <c r="D49" s="66"/>
      <c r="E49" s="66"/>
      <c r="F49" s="66"/>
      <c r="G49" s="66"/>
      <c r="K49" s="86"/>
      <c r="L49" s="86"/>
      <c r="M49" s="86"/>
      <c r="N49" s="86"/>
      <c r="O49" s="86"/>
      <c r="P49" s="86"/>
      <c r="Q49" s="86"/>
    </row>
    <row r="50" spans="1:17" x14ac:dyDescent="0.25">
      <c r="A50" s="66"/>
      <c r="B50" s="72" t="s">
        <v>1</v>
      </c>
      <c r="C50" s="69">
        <f>C44*$C$27</f>
        <v>30</v>
      </c>
      <c r="D50" s="66"/>
      <c r="E50" s="74" t="s">
        <v>5</v>
      </c>
      <c r="F50" s="69">
        <f>F44*F27</f>
        <v>37.5</v>
      </c>
      <c r="G50" s="66"/>
      <c r="K50" s="86"/>
      <c r="L50" s="91" t="s">
        <v>1</v>
      </c>
      <c r="M50" s="89">
        <f>M44*$M$27</f>
        <v>6.0500878734622123</v>
      </c>
      <c r="N50" s="86"/>
      <c r="O50" s="95" t="s">
        <v>5</v>
      </c>
      <c r="P50" s="89">
        <f>P44*M27</f>
        <v>61.449912126537782</v>
      </c>
      <c r="Q50" s="86"/>
    </row>
    <row r="51" spans="1:17" x14ac:dyDescent="0.25">
      <c r="A51" s="66"/>
      <c r="B51" s="76" t="s">
        <v>2</v>
      </c>
      <c r="C51" s="69">
        <f>C45*$C$28</f>
        <v>27.272727272727273</v>
      </c>
      <c r="D51" s="66"/>
      <c r="E51" s="77" t="s">
        <v>9</v>
      </c>
      <c r="F51" s="69">
        <f>F45*$F$28</f>
        <v>37.5</v>
      </c>
      <c r="G51" s="66"/>
      <c r="K51" s="86"/>
      <c r="L51" s="93" t="s">
        <v>2</v>
      </c>
      <c r="M51" s="89">
        <f>M45*$M$28</f>
        <v>51.010544815465735</v>
      </c>
      <c r="N51" s="86"/>
      <c r="O51" s="96" t="s">
        <v>9</v>
      </c>
      <c r="P51" s="89">
        <f>P45*M28</f>
        <v>9.9648506151142371</v>
      </c>
      <c r="Q51" s="86"/>
    </row>
    <row r="52" spans="1:17" x14ac:dyDescent="0.25">
      <c r="A52" s="66"/>
      <c r="B52" s="76" t="s">
        <v>4</v>
      </c>
      <c r="C52" s="69">
        <f>C46*$C$28</f>
        <v>2.7272727272727275</v>
      </c>
      <c r="D52" s="66"/>
      <c r="E52" s="66"/>
      <c r="F52" s="66"/>
      <c r="G52" s="66"/>
      <c r="K52" s="86"/>
      <c r="L52" s="93" t="s">
        <v>4</v>
      </c>
      <c r="M52" s="89">
        <f>M46*$M$28</f>
        <v>6.5246045694200347</v>
      </c>
      <c r="N52" s="86"/>
      <c r="O52" s="86"/>
      <c r="P52" s="86"/>
      <c r="Q52" s="86"/>
    </row>
    <row r="53" spans="1:17" x14ac:dyDescent="0.25">
      <c r="A53" s="66"/>
      <c r="B53" s="66"/>
      <c r="C53" s="66"/>
      <c r="D53" s="66"/>
      <c r="E53" s="66"/>
      <c r="F53" s="66"/>
      <c r="G53" s="66"/>
      <c r="K53" s="86"/>
      <c r="L53" s="86"/>
      <c r="M53" s="86"/>
      <c r="N53" s="86"/>
      <c r="O53" s="86"/>
      <c r="P53" s="86"/>
      <c r="Q53" s="86"/>
    </row>
    <row r="54" spans="1:17" x14ac:dyDescent="0.25">
      <c r="A54" s="67" t="s">
        <v>34</v>
      </c>
      <c r="B54" s="66"/>
      <c r="C54" s="66"/>
      <c r="D54" s="66"/>
      <c r="E54" s="66"/>
      <c r="F54" s="66"/>
      <c r="G54" s="66"/>
      <c r="K54" s="87" t="s">
        <v>34</v>
      </c>
      <c r="L54" s="86"/>
      <c r="M54" s="86"/>
      <c r="N54" s="86"/>
      <c r="O54" s="86"/>
      <c r="P54" s="86"/>
      <c r="Q54" s="86"/>
    </row>
    <row r="55" spans="1:17" x14ac:dyDescent="0.25">
      <c r="A55" s="66"/>
      <c r="B55" s="66"/>
      <c r="C55" s="66"/>
      <c r="D55" s="66"/>
      <c r="E55" s="66"/>
      <c r="F55" s="66"/>
      <c r="G55" s="66"/>
      <c r="K55" s="86"/>
      <c r="L55" s="86"/>
      <c r="M55" s="86"/>
      <c r="N55" s="86"/>
      <c r="O55" s="86"/>
      <c r="P55" s="86"/>
      <c r="Q55" s="86"/>
    </row>
    <row r="56" spans="1:17" x14ac:dyDescent="0.25">
      <c r="A56" s="66"/>
      <c r="B56" s="72" t="s">
        <v>1</v>
      </c>
      <c r="C56" s="84">
        <f>C50/'Separate same rpm'!N19</f>
        <v>15</v>
      </c>
      <c r="D56" s="66"/>
      <c r="E56" s="74" t="s">
        <v>5</v>
      </c>
      <c r="F56" s="84">
        <f>F50/'Separate same rpm'!N23</f>
        <v>3.125</v>
      </c>
      <c r="G56" s="66"/>
      <c r="K56" s="86"/>
      <c r="L56" s="91" t="s">
        <v>1</v>
      </c>
      <c r="M56" s="101">
        <f>M50/'Joint same rpm'!N19</f>
        <v>3.0250439367311062</v>
      </c>
      <c r="N56" s="86"/>
      <c r="O56" s="95" t="s">
        <v>5</v>
      </c>
      <c r="P56" s="101">
        <f>P50/'Joint same rpm'!N23</f>
        <v>5.1208260105448149</v>
      </c>
      <c r="Q56" s="86"/>
    </row>
    <row r="57" spans="1:17" x14ac:dyDescent="0.25">
      <c r="A57" s="66"/>
      <c r="B57" s="76" t="s">
        <v>2</v>
      </c>
      <c r="C57" s="84">
        <f>C51/'Separate same rpm'!N20</f>
        <v>2.7272727272727275</v>
      </c>
      <c r="D57" s="66"/>
      <c r="E57" s="77" t="s">
        <v>9</v>
      </c>
      <c r="F57" s="84">
        <f>F51/'Separate same rpm'!N24</f>
        <v>12.5</v>
      </c>
      <c r="G57" s="66"/>
      <c r="K57" s="86"/>
      <c r="L57" s="93" t="s">
        <v>2</v>
      </c>
      <c r="M57" s="101">
        <f>M51/'Joint same rpm'!N20</f>
        <v>5.1010544815465737</v>
      </c>
      <c r="N57" s="86"/>
      <c r="O57" s="96" t="s">
        <v>9</v>
      </c>
      <c r="P57" s="101">
        <f>P51/'Joint same rpm'!N24</f>
        <v>3.3216168717047458</v>
      </c>
      <c r="Q57" s="86"/>
    </row>
    <row r="58" spans="1:17" x14ac:dyDescent="0.25">
      <c r="A58" s="66"/>
      <c r="B58" s="76" t="s">
        <v>4</v>
      </c>
      <c r="C58" s="84">
        <f>C52/'Separate same rpm'!N21</f>
        <v>2.7272727272727275</v>
      </c>
      <c r="D58" s="66"/>
      <c r="E58" s="66"/>
      <c r="F58" s="66"/>
      <c r="G58" s="66"/>
      <c r="K58" s="86"/>
      <c r="L58" s="93" t="s">
        <v>4</v>
      </c>
      <c r="M58" s="101">
        <f>M52/'Joint same rpm'!N21</f>
        <v>6.5246045694200347</v>
      </c>
      <c r="N58" s="86"/>
      <c r="O58" s="86"/>
      <c r="P58" s="86"/>
      <c r="Q58" s="86"/>
    </row>
    <row r="59" spans="1:17" x14ac:dyDescent="0.25">
      <c r="A59" s="66"/>
      <c r="B59" s="66"/>
      <c r="C59" s="66"/>
      <c r="D59" s="66"/>
      <c r="E59" s="66"/>
      <c r="F59" s="66"/>
      <c r="G59" s="66"/>
      <c r="K59" s="86"/>
      <c r="L59" s="86"/>
      <c r="M59" s="86"/>
      <c r="N59" s="86"/>
      <c r="O59" s="86"/>
      <c r="P59" s="86"/>
      <c r="Q59" s="86"/>
    </row>
  </sheetData>
  <mergeCells count="6">
    <mergeCell ref="L19:M19"/>
    <mergeCell ref="K10:K12"/>
    <mergeCell ref="B19:C19"/>
    <mergeCell ref="E19:F19"/>
    <mergeCell ref="K3:K4"/>
    <mergeCell ref="K6:K7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Cover</vt:lpstr>
      <vt:lpstr>Separate same rpm</vt:lpstr>
      <vt:lpstr>Joint same rpm</vt:lpstr>
      <vt:lpstr>Distances and CWDA - 2 zones</vt:lpstr>
      <vt:lpstr>Distances and CWDA - 1 zone</vt:lpstr>
    </vt:vector>
  </TitlesOfParts>
  <Company>GRTgaz Deutschland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 Dubard</dc:creator>
  <cp:lastModifiedBy>Markus Oswald</cp:lastModifiedBy>
  <dcterms:created xsi:type="dcterms:W3CDTF">2014-09-12T07:22:48Z</dcterms:created>
  <dcterms:modified xsi:type="dcterms:W3CDTF">2017-09-28T06:13:53Z</dcterms:modified>
</cp:coreProperties>
</file>